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80" tabRatio="896" activeTab="3"/>
  </bookViews>
  <sheets>
    <sheet name="표지" sheetId="1" r:id="rId1"/>
    <sheet name="총괄(2023년세입세출결산)" sheetId="2" r:id="rId2"/>
    <sheet name="세입결산" sheetId="3" r:id="rId3"/>
    <sheet name="세출결산" sheetId="4" r:id="rId4"/>
  </sheets>
  <definedNames>
    <definedName name="_xlnm.Print_Area" localSheetId="3">'세출결산'!$A$1:$I$69</definedName>
    <definedName name="_xlnm.Print_Titles" localSheetId="2">'세입결산'!$3:$5</definedName>
    <definedName name="_xlnm.Print_Titles" localSheetId="3">'세출결산'!$3:$6</definedName>
  </definedNames>
  <calcPr fullCalcOnLoad="1"/>
</workbook>
</file>

<file path=xl/sharedStrings.xml><?xml version="1.0" encoding="utf-8"?>
<sst xmlns="http://schemas.openxmlformats.org/spreadsheetml/2006/main" count="224" uniqueCount="182">
  <si>
    <t>잡지출</t>
  </si>
  <si>
    <t>예비비</t>
  </si>
  <si>
    <t>예산대비</t>
  </si>
  <si>
    <t>후원금
수  입</t>
  </si>
  <si>
    <t>이월금</t>
  </si>
  <si>
    <t>(단위:  원)</t>
  </si>
  <si>
    <t>과목</t>
  </si>
  <si>
    <t>산출근거</t>
  </si>
  <si>
    <t>관</t>
  </si>
  <si>
    <t>항</t>
  </si>
  <si>
    <t>목</t>
  </si>
  <si>
    <t>소  계</t>
  </si>
  <si>
    <t>잡수입</t>
  </si>
  <si>
    <t>기타예금
이자수입</t>
  </si>
  <si>
    <t>합  계</t>
  </si>
  <si>
    <t>..</t>
  </si>
  <si>
    <t>예산액</t>
  </si>
  <si>
    <t>기관
운영비</t>
  </si>
  <si>
    <t>회의비</t>
  </si>
  <si>
    <t>여비</t>
  </si>
  <si>
    <t>수용비및
수수료</t>
  </si>
  <si>
    <t>차량비</t>
  </si>
  <si>
    <t>자산
취득비</t>
  </si>
  <si>
    <t>밑반찬
서비스</t>
  </si>
  <si>
    <t>명절떡
나누기</t>
  </si>
  <si>
    <t>기타사업비</t>
  </si>
  <si>
    <t>홍보비</t>
  </si>
  <si>
    <t>(단위: 원)</t>
  </si>
  <si>
    <t>기   타
잡수입</t>
  </si>
  <si>
    <t>1. 총괄표</t>
  </si>
  <si>
    <t>비지정
후원금</t>
  </si>
  <si>
    <t>구      분</t>
  </si>
  <si>
    <t>세입</t>
  </si>
  <si>
    <t>잡   수   입</t>
  </si>
  <si>
    <t>세출</t>
  </si>
  <si>
    <t>인   건   비</t>
  </si>
  <si>
    <t>업무추진비</t>
  </si>
  <si>
    <t>시   설   비</t>
  </si>
  <si>
    <t>사   업   비</t>
  </si>
  <si>
    <t>잡   지   출</t>
  </si>
  <si>
    <t>예   비   비</t>
  </si>
  <si>
    <t>후원금
수입</t>
  </si>
  <si>
    <t>직원교육
및간담회</t>
  </si>
  <si>
    <t>지정
후원금</t>
  </si>
  <si>
    <t>2. 세 입</t>
  </si>
  <si>
    <t>보조금수입</t>
  </si>
  <si>
    <t>이   월   금</t>
  </si>
  <si>
    <t>후원금수입</t>
  </si>
  <si>
    <t>3. 세 출</t>
  </si>
  <si>
    <t>기타
운영비</t>
  </si>
  <si>
    <t>직책
보조비</t>
  </si>
  <si>
    <t>전입금</t>
  </si>
  <si>
    <t>전입금</t>
  </si>
  <si>
    <t>수입</t>
  </si>
  <si>
    <t>지출</t>
  </si>
  <si>
    <t>`</t>
  </si>
  <si>
    <t>전   입   금</t>
  </si>
  <si>
    <t xml:space="preserve">
사회보험
부담금</t>
  </si>
  <si>
    <t>공공요금 및 각종
세금공과금</t>
  </si>
  <si>
    <t>보조금
수입</t>
  </si>
  <si>
    <t>과 목</t>
  </si>
  <si>
    <t>이용자부담금수입</t>
  </si>
  <si>
    <t>렌탈비용 추가</t>
  </si>
  <si>
    <t>합계</t>
  </si>
  <si>
    <t>소계</t>
  </si>
  <si>
    <t>본인부담금
수입</t>
  </si>
  <si>
    <t xml:space="preserve">                    </t>
  </si>
  <si>
    <t>전년도
이월금</t>
  </si>
  <si>
    <t>전년도
이월금
(후원금)</t>
  </si>
  <si>
    <t>증 - 감</t>
  </si>
  <si>
    <t>구성비</t>
  </si>
  <si>
    <t xml:space="preserve"> </t>
  </si>
  <si>
    <t>.</t>
  </si>
  <si>
    <t>각종수당</t>
  </si>
  <si>
    <t xml:space="preserve">
각종수당
</t>
  </si>
  <si>
    <t>업
무
추
진
비</t>
  </si>
  <si>
    <t>가산금
수입</t>
  </si>
  <si>
    <t>야외나들이</t>
  </si>
  <si>
    <t>기타보조금</t>
  </si>
  <si>
    <t>성안노인복지센터</t>
  </si>
  <si>
    <t>사
무
비</t>
  </si>
  <si>
    <t>인
건
비</t>
  </si>
  <si>
    <t>급  여</t>
  </si>
  <si>
    <t>재
산
조
성
비</t>
  </si>
  <si>
    <t>시
설
비</t>
  </si>
  <si>
    <t>운
영
비</t>
  </si>
  <si>
    <t>사
업
비</t>
  </si>
  <si>
    <t>요양
급여
수입</t>
  </si>
  <si>
    <t>이용
비용
수입</t>
  </si>
  <si>
    <t>장기요양
급여수입</t>
  </si>
  <si>
    <t>시·군·구
보조금</t>
  </si>
  <si>
    <t>자원봉사자ㆍ후원자
만남의날</t>
  </si>
  <si>
    <t>사회복지법인
성안복지재단</t>
  </si>
  <si>
    <t>(장기요양)</t>
  </si>
  <si>
    <t>운   영   비</t>
  </si>
  <si>
    <t>요양급여수입</t>
  </si>
  <si>
    <t>이용
부담금수입</t>
  </si>
  <si>
    <t xml:space="preserve">퇴직
연금
</t>
  </si>
  <si>
    <t>사
무
비</t>
  </si>
  <si>
    <t>반환금</t>
  </si>
  <si>
    <t xml:space="preserve"> ▪ 건강보험                </t>
  </si>
  <si>
    <t xml:space="preserve"> ▪ 장기요양             </t>
  </si>
  <si>
    <t xml:space="preserve"> ▪ 국민연금                 </t>
  </si>
  <si>
    <t xml:space="preserve"> ▪ 고용보험             </t>
  </si>
  <si>
    <t>보조금</t>
  </si>
  <si>
    <r>
      <t xml:space="preserve">▪ </t>
    </r>
    <r>
      <rPr>
        <b/>
        <sz val="9"/>
        <rFont val="굴림"/>
        <family val="3"/>
      </rPr>
      <t xml:space="preserve">센터장 직무관련             </t>
    </r>
    <r>
      <rPr>
        <sz val="9"/>
        <rFont val="굴림"/>
        <family val="3"/>
      </rPr>
      <t xml:space="preserve">
 400,000원x4분기 = 1,600,000원</t>
    </r>
  </si>
  <si>
    <t>인
건
비</t>
  </si>
  <si>
    <r>
      <t xml:space="preserve"> </t>
    </r>
    <r>
      <rPr>
        <b/>
        <sz val="9"/>
        <color indexed="8"/>
        <rFont val="굴림"/>
        <family val="3"/>
      </rPr>
      <t xml:space="preserve"> 상근요양보호사(방문요양)</t>
    </r>
    <r>
      <rPr>
        <sz val="9"/>
        <color indexed="8"/>
        <rFont val="굴림"/>
        <family val="3"/>
      </rPr>
      <t xml:space="preserve">         
    700,000원x2회x2명=2,800,000원
  </t>
    </r>
    <r>
      <rPr>
        <b/>
        <sz val="9"/>
        <color indexed="8"/>
        <rFont val="굴림"/>
        <family val="3"/>
      </rPr>
      <t>상근요양보호사(방문목욕)</t>
    </r>
    <r>
      <rPr>
        <sz val="9"/>
        <color indexed="8"/>
        <rFont val="굴림"/>
        <family val="3"/>
      </rPr>
      <t xml:space="preserve">         
    700,000원x2회x2명=2,800,000원 </t>
    </r>
  </si>
  <si>
    <r>
      <rPr>
        <b/>
        <sz val="9"/>
        <color indexed="8"/>
        <rFont val="굴림"/>
        <family val="3"/>
      </rPr>
      <t xml:space="preserve"> ▪ 명절수당            19,262,120원</t>
    </r>
    <r>
      <rPr>
        <sz val="9"/>
        <color indexed="8"/>
        <rFont val="굴림"/>
        <family val="3"/>
      </rPr>
      <t xml:space="preserve">
 </t>
    </r>
    <r>
      <rPr>
        <b/>
        <sz val="9"/>
        <color indexed="8"/>
        <rFont val="굴림"/>
        <family val="3"/>
      </rPr>
      <t xml:space="preserve"> 센터장           
</t>
    </r>
    <r>
      <rPr>
        <sz val="9"/>
        <color indexed="8"/>
        <rFont val="굴림"/>
        <family val="3"/>
      </rPr>
      <t xml:space="preserve">     1,983,240원x2회=3,966,480원
  </t>
    </r>
    <r>
      <rPr>
        <b/>
        <sz val="9"/>
        <color indexed="8"/>
        <rFont val="굴림"/>
        <family val="3"/>
      </rPr>
      <t>팀장</t>
    </r>
    <r>
      <rPr>
        <sz val="9"/>
        <color indexed="8"/>
        <rFont val="굴림"/>
        <family val="3"/>
      </rPr>
      <t xml:space="preserve">       
     1,886,520원x2회=3,773,040원</t>
    </r>
    <r>
      <rPr>
        <b/>
        <sz val="9"/>
        <color indexed="8"/>
        <rFont val="굴림"/>
        <family val="3"/>
      </rPr>
      <t xml:space="preserve"> </t>
    </r>
  </si>
  <si>
    <r>
      <t xml:space="preserve">  </t>
    </r>
    <r>
      <rPr>
        <b/>
        <sz val="9"/>
        <color indexed="8"/>
        <rFont val="굴림"/>
        <family val="3"/>
      </rPr>
      <t>▪ 명절수당</t>
    </r>
    <r>
      <rPr>
        <sz val="9"/>
        <color indexed="8"/>
        <rFont val="굴림"/>
        <family val="3"/>
      </rPr>
      <t xml:space="preserve">
  </t>
    </r>
    <r>
      <rPr>
        <b/>
        <sz val="9"/>
        <color indexed="8"/>
        <rFont val="굴림"/>
        <family val="3"/>
      </rPr>
      <t xml:space="preserve">사회복지사 1(선임)   </t>
    </r>
    <r>
      <rPr>
        <sz val="9"/>
        <color indexed="8"/>
        <rFont val="굴림"/>
        <family val="3"/>
      </rPr>
      <t xml:space="preserve">
     1,544,880원x2회=3,089,760원
  </t>
    </r>
    <r>
      <rPr>
        <b/>
        <sz val="9"/>
        <color indexed="8"/>
        <rFont val="굴림"/>
        <family val="3"/>
      </rPr>
      <t xml:space="preserve">사회복지사 2          </t>
    </r>
    <r>
      <rPr>
        <sz val="9"/>
        <color indexed="8"/>
        <rFont val="굴림"/>
        <family val="3"/>
      </rPr>
      <t xml:space="preserve">
     1,416,420원x2회=2,832,840원</t>
    </r>
  </si>
  <si>
    <t>장기수입</t>
  </si>
  <si>
    <t>차액</t>
  </si>
  <si>
    <t>지출(시설비제외)</t>
  </si>
  <si>
    <t>법인
전입금
(후원금)</t>
  </si>
  <si>
    <r>
      <rPr>
        <b/>
        <sz val="9"/>
        <color indexed="8"/>
        <rFont val="굴림"/>
        <family val="3"/>
      </rPr>
      <t xml:space="preserve"> ▪ 방문요양 등급외 운영비</t>
    </r>
    <r>
      <rPr>
        <sz val="9"/>
        <color indexed="8"/>
        <rFont val="굴림"/>
        <family val="3"/>
      </rPr>
      <t xml:space="preserve">
    5,000,000원x4분기 =20,000,000원</t>
    </r>
  </si>
  <si>
    <r>
      <rPr>
        <b/>
        <sz val="9"/>
        <color indexed="8"/>
        <rFont val="굴림"/>
        <family val="3"/>
      </rPr>
      <t xml:space="preserve"> ▪ 센터장</t>
    </r>
    <r>
      <rPr>
        <sz val="9"/>
        <color indexed="8"/>
        <rFont val="굴림"/>
        <family val="3"/>
      </rPr>
      <t xml:space="preserve">
    150,000원x12개월 =1,800,000원
</t>
    </r>
    <r>
      <rPr>
        <b/>
        <sz val="9"/>
        <color indexed="8"/>
        <rFont val="굴림"/>
        <family val="3"/>
      </rPr>
      <t xml:space="preserve"> ▪ 팀장</t>
    </r>
    <r>
      <rPr>
        <sz val="9"/>
        <color indexed="8"/>
        <rFont val="굴림"/>
        <family val="3"/>
      </rPr>
      <t xml:space="preserve">
    180,000원x9개월+200,000원x3개월
     = 2,220,000원
 ▪ </t>
    </r>
    <r>
      <rPr>
        <b/>
        <sz val="9"/>
        <color indexed="8"/>
        <rFont val="굴림"/>
        <family val="3"/>
      </rPr>
      <t>사회복지사</t>
    </r>
    <r>
      <rPr>
        <sz val="9"/>
        <color indexed="8"/>
        <rFont val="굴림"/>
        <family val="3"/>
      </rPr>
      <t xml:space="preserve">
    170,000원x12개월x2명 = 4,080,000원
 ▪ </t>
    </r>
    <r>
      <rPr>
        <b/>
        <sz val="9"/>
        <color indexed="8"/>
        <rFont val="굴림"/>
        <family val="3"/>
      </rPr>
      <t>상근요양보호사(방문요양)</t>
    </r>
    <r>
      <rPr>
        <sz val="9"/>
        <color indexed="8"/>
        <rFont val="굴림"/>
        <family val="3"/>
      </rPr>
      <t xml:space="preserve">
    200,000원x12개월x2명 = 4,800,000원
 ▪ </t>
    </r>
    <r>
      <rPr>
        <b/>
        <sz val="9"/>
        <color indexed="8"/>
        <rFont val="굴림"/>
        <family val="3"/>
      </rPr>
      <t>상근요양보호사(방문목욕</t>
    </r>
    <r>
      <rPr>
        <sz val="9"/>
        <color indexed="8"/>
        <rFont val="굴림"/>
        <family val="3"/>
      </rPr>
      <t xml:space="preserve">)
  </t>
    </r>
    <r>
      <rPr>
        <b/>
        <sz val="9"/>
        <color indexed="8"/>
        <rFont val="굴림"/>
        <family val="3"/>
      </rPr>
      <t>목욕전담1</t>
    </r>
    <r>
      <rPr>
        <sz val="9"/>
        <color indexed="8"/>
        <rFont val="굴림"/>
        <family val="3"/>
      </rPr>
      <t xml:space="preserve">
    200,000원x12개월x1명 = 2,400,000원
  </t>
    </r>
    <r>
      <rPr>
        <b/>
        <sz val="9"/>
        <color indexed="8"/>
        <rFont val="굴림"/>
        <family val="3"/>
      </rPr>
      <t>목욕전담2</t>
    </r>
    <r>
      <rPr>
        <sz val="9"/>
        <color indexed="8"/>
        <rFont val="굴림"/>
        <family val="3"/>
      </rPr>
      <t xml:space="preserve">
    170,000원x4개월+180,000원x8개월
    = 2,120,000원
</t>
    </r>
    <r>
      <rPr>
        <b/>
        <sz val="9"/>
        <color indexed="8"/>
        <rFont val="굴림"/>
        <family val="3"/>
      </rPr>
      <t xml:space="preserve"> ▪ 시간제요양보호사
   </t>
    </r>
    <r>
      <rPr>
        <sz val="9"/>
        <color indexed="8"/>
        <rFont val="굴림"/>
        <family val="3"/>
      </rPr>
      <t xml:space="preserve">170,000원x1개월x2명 = 340,000원         </t>
    </r>
    <r>
      <rPr>
        <b/>
        <sz val="9"/>
        <color indexed="8"/>
        <rFont val="굴림"/>
        <family val="3"/>
      </rPr>
      <t xml:space="preserve">        </t>
    </r>
    <r>
      <rPr>
        <sz val="9"/>
        <color indexed="8"/>
        <rFont val="굴림"/>
        <family val="3"/>
      </rPr>
      <t xml:space="preserve">
    170,000원x2개월x3명 = 1,020,000원
    170,000원x8개월x9명 = 12,240,000원</t>
    </r>
  </si>
  <si>
    <t>▪ 인센티브                           
  150,000원x36명=5,400,000원
  100,000원x36명=3,600,000원</t>
  </si>
  <si>
    <t>▪ 직원워크샵
   77,940원x10명=779,400원</t>
  </si>
  <si>
    <t xml:space="preserve">▪ 직원복리후생비   
  100,000원x50명=5,000,000원
   30,000원x47명=1,410,000원
  250,000원x4명=1,000,000원
   </t>
  </si>
  <si>
    <t>▪ 설명절 선물 나누기            
  30,000원x100명=3,000,000원
 ▪ 추석명절 선물 나누기         
   27,000원x100명=2,700,000원</t>
  </si>
  <si>
    <t>불용매각대</t>
  </si>
  <si>
    <r>
      <rPr>
        <b/>
        <sz val="9"/>
        <color indexed="8"/>
        <rFont val="굴림"/>
        <family val="3"/>
      </rPr>
      <t>▪ 센터장(7호봉)</t>
    </r>
    <r>
      <rPr>
        <sz val="9"/>
        <color indexed="8"/>
        <rFont val="굴림"/>
        <family val="3"/>
      </rPr>
      <t xml:space="preserve">                
  3,305,400원x12개월 =  39,664,800</t>
    </r>
    <r>
      <rPr>
        <sz val="9"/>
        <color indexed="8"/>
        <rFont val="굴림"/>
        <family val="3"/>
      </rPr>
      <t>원</t>
    </r>
  </si>
  <si>
    <r>
      <rPr>
        <b/>
        <sz val="9"/>
        <color indexed="8"/>
        <rFont val="굴림"/>
        <family val="3"/>
      </rPr>
      <t xml:space="preserve">▪ 사회복지사 1 (8호봉-선임)  </t>
    </r>
    <r>
      <rPr>
        <sz val="9"/>
        <color indexed="8"/>
        <rFont val="굴림"/>
        <family val="3"/>
      </rPr>
      <t xml:space="preserve">
  2,574,800원x12개월 = 30,897,600</t>
    </r>
    <r>
      <rPr>
        <sz val="9"/>
        <color indexed="8"/>
        <rFont val="굴림"/>
        <family val="3"/>
      </rPr>
      <t>원</t>
    </r>
  </si>
  <si>
    <r>
      <t xml:space="preserve">▪ </t>
    </r>
    <r>
      <rPr>
        <b/>
        <sz val="9"/>
        <color indexed="8"/>
        <rFont val="굴림"/>
        <family val="3"/>
      </rPr>
      <t xml:space="preserve">사회복지사 2 (8호봉)     </t>
    </r>
    <r>
      <rPr>
        <sz val="9"/>
        <color indexed="8"/>
        <rFont val="굴림"/>
        <family val="3"/>
      </rPr>
      <t xml:space="preserve">
   2,360,700원x12개월 = 28,328,400원</t>
    </r>
  </si>
  <si>
    <r>
      <rPr>
        <b/>
        <sz val="9"/>
        <color indexed="8"/>
        <rFont val="굴림"/>
        <family val="3"/>
      </rPr>
      <t>▪ 상근요양보호사(요양)</t>
    </r>
    <r>
      <rPr>
        <sz val="9"/>
        <color indexed="8"/>
        <rFont val="굴림"/>
        <family val="3"/>
      </rPr>
      <t xml:space="preserve">  </t>
    </r>
    <r>
      <rPr>
        <b/>
        <sz val="9"/>
        <color indexed="8"/>
        <rFont val="굴림"/>
        <family val="3"/>
      </rPr>
      <t xml:space="preserve"> </t>
    </r>
    <r>
      <rPr>
        <sz val="9"/>
        <color indexed="8"/>
        <rFont val="굴림"/>
        <family val="3"/>
      </rPr>
      <t xml:space="preserve">             
   2,000,000원x12개월x2명 
   =</t>
    </r>
    <r>
      <rPr>
        <b/>
        <sz val="9"/>
        <color indexed="8"/>
        <rFont val="굴림"/>
        <family val="3"/>
      </rPr>
      <t xml:space="preserve"> </t>
    </r>
    <r>
      <rPr>
        <sz val="9"/>
        <color indexed="8"/>
        <rFont val="굴림"/>
        <family val="3"/>
      </rPr>
      <t>48,000,000원</t>
    </r>
  </si>
  <si>
    <r>
      <rPr>
        <b/>
        <sz val="9"/>
        <rFont val="굴림"/>
        <family val="3"/>
      </rPr>
      <t>▪ 상근요양보호사(목욕)    50,160,000원</t>
    </r>
    <r>
      <rPr>
        <sz val="9"/>
        <rFont val="굴림"/>
        <family val="3"/>
      </rPr>
      <t xml:space="preserve">
</t>
    </r>
    <r>
      <rPr>
        <b/>
        <sz val="9"/>
        <rFont val="굴림"/>
        <family val="3"/>
      </rPr>
      <t xml:space="preserve"> 목욕전담1</t>
    </r>
    <r>
      <rPr>
        <sz val="9"/>
        <rFont val="굴림"/>
        <family val="3"/>
      </rPr>
      <t xml:space="preserve">
   2,150,000원x12개월 = 25,800,000원
 </t>
    </r>
    <r>
      <rPr>
        <b/>
        <sz val="9"/>
        <rFont val="굴림"/>
        <family val="3"/>
      </rPr>
      <t>목욕전담2</t>
    </r>
    <r>
      <rPr>
        <sz val="9"/>
        <rFont val="굴림"/>
        <family val="3"/>
      </rPr>
      <t xml:space="preserve">
   2,030,000원x12개월 = 24,360,000원</t>
    </r>
  </si>
  <si>
    <r>
      <rPr>
        <b/>
        <sz val="9"/>
        <color indexed="8"/>
        <rFont val="굴림"/>
        <family val="3"/>
      </rPr>
      <t xml:space="preserve"> ▪ 식비</t>
    </r>
    <r>
      <rPr>
        <sz val="9"/>
        <color indexed="8"/>
        <rFont val="굴림"/>
        <family val="3"/>
      </rPr>
      <t xml:space="preserve">
  100,000원x12개월x8명=9,600,000원
  100,000원x11개월x2명=2,200,000원</t>
    </r>
  </si>
  <si>
    <r>
      <rPr>
        <b/>
        <sz val="9"/>
        <color indexed="8"/>
        <rFont val="굴림"/>
        <family val="3"/>
      </rPr>
      <t xml:space="preserve"> 센터장</t>
    </r>
    <r>
      <rPr>
        <sz val="9"/>
        <color indexed="8"/>
        <rFont val="굴림"/>
        <family val="3"/>
      </rPr>
      <t xml:space="preserve">
  150,000원x12개월 =1,800,000원
</t>
    </r>
    <r>
      <rPr>
        <b/>
        <sz val="9"/>
        <color indexed="8"/>
        <rFont val="굴림"/>
        <family val="3"/>
      </rPr>
      <t xml:space="preserve"> 팀장</t>
    </r>
    <r>
      <rPr>
        <sz val="9"/>
        <color indexed="8"/>
        <rFont val="굴림"/>
        <family val="3"/>
      </rPr>
      <t xml:space="preserve">
  180,000원x9개월+200,000원x3개월
   =2,220,000원
 </t>
    </r>
    <r>
      <rPr>
        <b/>
        <sz val="9"/>
        <color indexed="8"/>
        <rFont val="굴림"/>
        <family val="3"/>
      </rPr>
      <t>사회복지사</t>
    </r>
    <r>
      <rPr>
        <sz val="9"/>
        <color indexed="8"/>
        <rFont val="굴림"/>
        <family val="3"/>
      </rPr>
      <t xml:space="preserve">
  170,000원x12개월x2명=4,080,000원
 </t>
    </r>
    <r>
      <rPr>
        <b/>
        <sz val="9"/>
        <color indexed="8"/>
        <rFont val="굴림"/>
        <family val="3"/>
      </rPr>
      <t>상근요양보호사(방문요양)</t>
    </r>
    <r>
      <rPr>
        <sz val="9"/>
        <color indexed="8"/>
        <rFont val="굴림"/>
        <family val="3"/>
      </rPr>
      <t xml:space="preserve">
  200,000원x12개월x2명=4,800,000원
 </t>
    </r>
    <r>
      <rPr>
        <b/>
        <sz val="9"/>
        <color indexed="8"/>
        <rFont val="굴림"/>
        <family val="3"/>
      </rPr>
      <t>상근요양보호사(방문목욕</t>
    </r>
    <r>
      <rPr>
        <sz val="9"/>
        <color indexed="8"/>
        <rFont val="굴림"/>
        <family val="3"/>
      </rPr>
      <t xml:space="preserve">)
  </t>
    </r>
    <r>
      <rPr>
        <b/>
        <sz val="9"/>
        <color indexed="8"/>
        <rFont val="굴림"/>
        <family val="3"/>
      </rPr>
      <t>목욕전담1</t>
    </r>
    <r>
      <rPr>
        <sz val="9"/>
        <color indexed="8"/>
        <rFont val="굴림"/>
        <family val="3"/>
      </rPr>
      <t xml:space="preserve">
   200,000원x12개월x1명=2,400,000원
  </t>
    </r>
    <r>
      <rPr>
        <b/>
        <sz val="9"/>
        <color indexed="8"/>
        <rFont val="굴림"/>
        <family val="3"/>
      </rPr>
      <t>목욕전담2</t>
    </r>
    <r>
      <rPr>
        <sz val="9"/>
        <color indexed="8"/>
        <rFont val="굴림"/>
        <family val="3"/>
      </rPr>
      <t xml:space="preserve">
   170,000원x4개월+180,000원x8개월
   = 2,120,000원
</t>
    </r>
    <r>
      <rPr>
        <b/>
        <sz val="9"/>
        <color indexed="8"/>
        <rFont val="굴림"/>
        <family val="3"/>
      </rPr>
      <t xml:space="preserve"> 시간제요양보호사                </t>
    </r>
    <r>
      <rPr>
        <sz val="9"/>
        <color indexed="8"/>
        <rFont val="굴림"/>
        <family val="3"/>
      </rPr>
      <t xml:space="preserve">
   170,000원x1개월x2명 = 340,000원                 
   170,000원x2개월x3명 = 1,020,000원
   170,000원x8개월x9명 = 12,240,000원</t>
    </r>
  </si>
  <si>
    <r>
      <rPr>
        <b/>
        <sz val="9"/>
        <color indexed="8"/>
        <rFont val="굴림"/>
        <family val="3"/>
      </rPr>
      <t xml:space="preserve"> ▪ 시간외수당             </t>
    </r>
    <r>
      <rPr>
        <sz val="9"/>
        <color indexed="8"/>
        <rFont val="굴림"/>
        <family val="3"/>
      </rPr>
      <t>617,630</t>
    </r>
    <r>
      <rPr>
        <sz val="9"/>
        <color indexed="8"/>
        <rFont val="굴림"/>
        <family val="3"/>
      </rPr>
      <t>원</t>
    </r>
  </si>
  <si>
    <t>▪ 직원 처우개선비           31,020,000원</t>
  </si>
  <si>
    <t>▪ 목욕 관리및 교통통신비        
   100,000원x12회x2명=2,400,000원
 ▪ 요양 관리및 교통통신비    
   100,000원x12회x2명=2,400,000원</t>
  </si>
  <si>
    <r>
      <t xml:space="preserve">▪ 사무직원 교통통신비             
   </t>
    </r>
    <r>
      <rPr>
        <sz val="9"/>
        <color indexed="10"/>
        <rFont val="굴림"/>
        <family val="3"/>
      </rPr>
      <t>200,000원x12개월x4명=9,600,000원</t>
    </r>
  </si>
  <si>
    <t>▪ 지정후원금(서O진)        1,000,000원
 ▪ 지정후원금(김O락)          150,000원</t>
  </si>
  <si>
    <r>
      <t xml:space="preserve"> ▪ 가족수당                    800,000원
  팀장 </t>
    </r>
    <r>
      <rPr>
        <sz val="9"/>
        <color indexed="8"/>
        <rFont val="굴림"/>
        <family val="3"/>
      </rPr>
      <t xml:space="preserve">20,000원x4개월+60,000원x8개월
   =560,000원
  </t>
    </r>
    <r>
      <rPr>
        <b/>
        <sz val="9"/>
        <color indexed="8"/>
        <rFont val="굴림"/>
        <family val="3"/>
      </rPr>
      <t>사회복지사</t>
    </r>
    <r>
      <rPr>
        <sz val="9"/>
        <color indexed="8"/>
        <rFont val="굴림"/>
        <family val="3"/>
      </rPr>
      <t xml:space="preserve"> 20,000원x12개월=240,000원</t>
    </r>
  </si>
  <si>
    <t>▪ 야외나들이                             
  25,729원x24명+4원=617,500원</t>
  </si>
  <si>
    <t>▪ 운영위원회                         
 144,200원x4분기=576,800원
 ▪ 노사협의회
  15,260원x1분기=15,260원</t>
  </si>
  <si>
    <t xml:space="preserve">▪ 법인전입금(후원금)     6,000,000원          </t>
  </si>
  <si>
    <t xml:space="preserve"> ▪ 불용매각대(세탁기)             80,000원 </t>
  </si>
  <si>
    <t xml:space="preserve"> ▪ 도내 참가비 및 경비                 224,000원
 ▪ 도외 참가비 및 경비                 514,600원</t>
  </si>
  <si>
    <t>▪ 대상자 후원비용지출                820,000원</t>
  </si>
  <si>
    <t>▪ 목욕차량 구입                     52,206,000원
 ▪ 방문차량 구입                     22,236,859원 
 ▪ 세탁기및건조기 구입             3,030,000원
 ▪ 휠체어구입                            440,000원</t>
  </si>
  <si>
    <t xml:space="preserve"> ▪ 직원퇴직및 위로금                1,500,000원
 ▪ 감사헌금(성안교회)              2,000,000원                               
 ▪ 기타                                     272,600원</t>
  </si>
  <si>
    <t xml:space="preserve"> ▪ 보조금 반환(예금이자)             172,052원</t>
  </si>
  <si>
    <r>
      <rPr>
        <b/>
        <sz val="9"/>
        <color indexed="8"/>
        <rFont val="굴림"/>
        <family val="3"/>
      </rPr>
      <t>▪ 팀장</t>
    </r>
    <r>
      <rPr>
        <sz val="9"/>
        <color indexed="8"/>
        <rFont val="굴림"/>
        <family val="3"/>
      </rPr>
      <t xml:space="preserve"> </t>
    </r>
    <r>
      <rPr>
        <b/>
        <sz val="9"/>
        <color indexed="8"/>
        <rFont val="굴림"/>
        <family val="3"/>
      </rPr>
      <t xml:space="preserve">(11호봉)              </t>
    </r>
    <r>
      <rPr>
        <sz val="9"/>
        <color indexed="8"/>
        <rFont val="굴림"/>
        <family val="3"/>
      </rPr>
      <t xml:space="preserve">
   3,144,200원x12개월 = </t>
    </r>
    <r>
      <rPr>
        <sz val="9"/>
        <color indexed="8"/>
        <rFont val="굴림"/>
        <family val="3"/>
      </rPr>
      <t>37,730,400원</t>
    </r>
  </si>
  <si>
    <t xml:space="preserve"> ▪ 자동차세                                420,340원
 ▪ 자동차취득세                        2,304,430원
 ▪ 환경개선부담금                        97,680원
 ▪ 협회비                                   800,000원
 ▪ 신원보증                                   7,680원
 ▪ 기타                                       32,000원</t>
  </si>
  <si>
    <t>총이자2750000원중 세금공제후 2326500원 입금(12/5일만기)</t>
  </si>
  <si>
    <r>
      <rPr>
        <b/>
        <sz val="9"/>
        <color indexed="8"/>
        <rFont val="굴림"/>
        <family val="3"/>
      </rPr>
      <t xml:space="preserve"> ▪ 장기근속장려금          </t>
    </r>
    <r>
      <rPr>
        <sz val="9"/>
        <color indexed="8"/>
        <rFont val="굴림"/>
        <family val="3"/>
      </rPr>
      <t xml:space="preserve">
  1,550,000원x12개월=18,600,000원</t>
    </r>
  </si>
  <si>
    <t xml:space="preserve"> 856,295,345원x7.09%*1/2+1원
 = 30,355,670원</t>
  </si>
  <si>
    <t xml:space="preserve">  353,073,111원x4.5% = 15,888,290원</t>
  </si>
  <si>
    <r>
      <t xml:space="preserve">▪ 주거환경개선사업 간식                16,880원
▪ 경조사비                               1,450,000원
  </t>
    </r>
    <r>
      <rPr>
        <sz val="9"/>
        <rFont val="굴림"/>
        <family val="3"/>
      </rPr>
      <t xml:space="preserve">100,000원x11회=1,100,000원 </t>
    </r>
    <r>
      <rPr>
        <sz val="9"/>
        <color indexed="8"/>
        <rFont val="굴림"/>
        <family val="3"/>
      </rPr>
      <t xml:space="preserve">
   50,000원x7회=350,000원</t>
    </r>
  </si>
  <si>
    <t xml:space="preserve"> ▪ 복합기임대료                       1,800,000원
 ▪ 프로그램사용료                      596,310원
 ▪ 자동차번호판및등록대행료       124,000원
 ▪ 오일장구인광고료                   120,000원
 ▪ 욕조폐기물처리비용                  15,000원</t>
  </si>
  <si>
    <t xml:space="preserve"> ▪ 목욕물품                             1,717,200원
 ▪ 자동차검사수수료외                  87,520원
 ▪ 인쇄비                                  220,000원
 ▪ 사무용품                             1,176,530원</t>
  </si>
  <si>
    <t xml:space="preserve"> 30,355,670원x12.81%-10,311원 = 3,878,250원</t>
  </si>
  <si>
    <t>▪ 요양보호사 포상                    
  100,000원x2명x4분기+300,000원x1명x1분기
   = 1,100,000원
 ▪ 직원 생일 상품권 구입     
  30,000원x41명=1,230,000원</t>
  </si>
  <si>
    <t>장기근속1명추가</t>
  </si>
  <si>
    <t xml:space="preserve">
 ▪ 자원봉사자 상품권 구입및 간식비251,100원
 ▪ 송년의밤                              1,217,000원</t>
  </si>
  <si>
    <t>▪ 장기요양대상자 방문               497,800원                           
 ▪ 독거어르신 후원                  1,000,000원
 ▪ 지정후원(박O규,류O동,오O봉어르신)
                                             759,300원                                         
 ▪ 상하수도료(목욕차량사용)        25,000원</t>
  </si>
  <si>
    <r>
      <rPr>
        <b/>
        <sz val="9"/>
        <rFont val="굴림"/>
        <family val="3"/>
      </rPr>
      <t>▪ 방문요양: 886,241</t>
    </r>
    <r>
      <rPr>
        <sz val="9"/>
        <rFont val="굴림"/>
        <family val="3"/>
      </rPr>
      <t>,710</t>
    </r>
    <r>
      <rPr>
        <b/>
        <sz val="9"/>
        <rFont val="굴림"/>
        <family val="3"/>
      </rPr>
      <t xml:space="preserve">원
 ▪ 방문목욕: 153,572,290원
 ▪ 장기근속: 18,580,000원 </t>
    </r>
    <r>
      <rPr>
        <sz val="9"/>
        <rFont val="굴림"/>
        <family val="3"/>
      </rPr>
      <t xml:space="preserve">                            </t>
    </r>
  </si>
  <si>
    <t xml:space="preserve">▪ 차량유류대                       
  745,306원x12개월+1원=8,943,673원
 ▪ 차량정비                              1,273,000원
 </t>
  </si>
  <si>
    <t>▪ 직원 격려 식대              
   831,700원x4분기=3,326,800원</t>
  </si>
  <si>
    <t xml:space="preserve"> 809,263,478원x 1.15% =9,306,530원</t>
  </si>
  <si>
    <r>
      <t xml:space="preserve"> ▪ 산재보험                    
</t>
    </r>
    <r>
      <rPr>
        <sz val="9"/>
        <color indexed="8"/>
        <rFont val="굴림"/>
        <family val="3"/>
      </rPr>
      <t xml:space="preserve"> 873,852,484원x 0.644% =5,627,610원</t>
    </r>
  </si>
  <si>
    <r>
      <t xml:space="preserve"> ▪ </t>
    </r>
    <r>
      <rPr>
        <b/>
        <sz val="9"/>
        <color indexed="8"/>
        <rFont val="굴림"/>
        <family val="3"/>
      </rPr>
      <t xml:space="preserve">상근직                                 </t>
    </r>
    <r>
      <rPr>
        <sz val="9"/>
        <color indexed="8"/>
        <rFont val="굴림"/>
        <family val="3"/>
      </rPr>
      <t xml:space="preserve">
283,033,200원x1/12=23,586,100원</t>
    </r>
  </si>
  <si>
    <t>사무비</t>
  </si>
  <si>
    <t>운영비</t>
  </si>
  <si>
    <t>▪ 통신요금                                403,040원
 ▪ 보험료                                5,059,250원
 ▪ 우편요금                               393,570원</t>
  </si>
  <si>
    <t>2023년도 세입· 세출 결산 총괄표</t>
  </si>
  <si>
    <t xml:space="preserve"> 2023년 2차추가경정예산</t>
  </si>
  <si>
    <t>2023년 결산 (B)</t>
  </si>
  <si>
    <t>▪ 추가인력가산금(방문요양)
  : 74,781,410원
▪ 추가인력가산금(방문목욕)
  : 12,893,840원</t>
  </si>
  <si>
    <t>2023년
예산(A)</t>
  </si>
  <si>
    <t>2023년
결산(B)</t>
  </si>
  <si>
    <r>
      <t>2023년 세입</t>
    </r>
    <r>
      <rPr>
        <b/>
        <sz val="22"/>
        <rFont val="Calibri"/>
        <family val="2"/>
      </rPr>
      <t>·</t>
    </r>
    <r>
      <rPr>
        <b/>
        <sz val="22"/>
        <rFont val="휴먼엑스포"/>
        <family val="1"/>
      </rPr>
      <t>세출 결산(안)</t>
    </r>
  </si>
  <si>
    <r>
      <rPr>
        <b/>
        <sz val="9"/>
        <rFont val="굴림"/>
        <family val="3"/>
      </rPr>
      <t>▪ 성안신협</t>
    </r>
    <r>
      <rPr>
        <sz val="9"/>
        <rFont val="굴림"/>
        <family val="3"/>
      </rPr>
      <t xml:space="preserve">                    2,000,000원 
 ▪ 적십자제주지점            1,000,000원 
 ▪ </t>
    </r>
    <r>
      <rPr>
        <b/>
        <sz val="9"/>
        <rFont val="굴림"/>
        <family val="3"/>
      </rPr>
      <t xml:space="preserve">서문성당                      </t>
    </r>
    <r>
      <rPr>
        <sz val="9"/>
        <rFont val="굴림"/>
        <family val="3"/>
      </rPr>
      <t xml:space="preserve">600,000원
 </t>
    </r>
    <r>
      <rPr>
        <b/>
        <sz val="9"/>
        <rFont val="굴림"/>
        <family val="3"/>
      </rPr>
      <t xml:space="preserve">▪ 김O은 외 11명 </t>
    </r>
    <r>
      <rPr>
        <sz val="9"/>
        <rFont val="굴림"/>
        <family val="3"/>
      </rPr>
      <t xml:space="preserve">            1,920,008원</t>
    </r>
  </si>
  <si>
    <t>▪ 현대카드리워드(캐쉬백)       196,346원
 ▪ 차량매각대금(97무7541호)    500,000원</t>
  </si>
  <si>
    <t xml:space="preserve"> ▪ 기타예금이자                2,987,294원</t>
  </si>
  <si>
    <r>
      <rPr>
        <b/>
        <sz val="9"/>
        <rFont val="굴림"/>
        <family val="3"/>
      </rPr>
      <t xml:space="preserve">▪ 방문 요양보호사          </t>
    </r>
    <r>
      <rPr>
        <sz val="9"/>
        <rFont val="굴림"/>
        <family val="3"/>
      </rPr>
      <t xml:space="preserve">
 55,817,050원x12개월-10원 = 669,804,590원
</t>
    </r>
    <r>
      <rPr>
        <b/>
        <sz val="9"/>
        <rFont val="굴림"/>
        <family val="3"/>
      </rPr>
      <t>▪ 방문요양 등급외 요양보호사</t>
    </r>
    <r>
      <rPr>
        <sz val="9"/>
        <rFont val="굴림"/>
        <family val="3"/>
      </rPr>
      <t xml:space="preserve">
 12,100원x106회 = 1,282,600원
</t>
    </r>
  </si>
  <si>
    <r>
      <t xml:space="preserve"> ▪</t>
    </r>
    <r>
      <rPr>
        <b/>
        <sz val="9"/>
        <color indexed="8"/>
        <rFont val="굴림"/>
        <family val="3"/>
      </rPr>
      <t xml:space="preserve"> 요양보호사</t>
    </r>
    <r>
      <rPr>
        <sz val="9"/>
        <color indexed="8"/>
        <rFont val="굴림"/>
        <family val="3"/>
      </rPr>
      <t xml:space="preserve">
</t>
    </r>
    <r>
      <rPr>
        <sz val="9"/>
        <rFont val="굴림"/>
        <family val="3"/>
      </rPr>
      <t xml:space="preserve"> 602,353,320원x1/12=50,196,110원</t>
    </r>
  </si>
  <si>
    <t>▪ 홍보비                                  100,000원</t>
  </si>
  <si>
    <t xml:space="preserve"> ▪ 식재료 전달                              
  16,053원x12개월x30명-40원=5,779,040원
  17,304원x12개월x9명-22원=1,868,810원</t>
  </si>
  <si>
    <t>▪ 직원회의 간식     
  251,264원x5회=1,256,320원</t>
  </si>
  <si>
    <r>
      <rPr>
        <b/>
        <sz val="9"/>
        <rFont val="굴림"/>
        <family val="3"/>
      </rPr>
      <t>▪ 방문요양</t>
    </r>
    <r>
      <rPr>
        <sz val="9"/>
        <rFont val="굴림"/>
        <family val="3"/>
      </rPr>
      <t xml:space="preserve">
   6,035,759원x12개월+2원=72,429,110원     
 ▪ 방문목욕
   412,525원x12개월+30원=4,950,330원</t>
    </r>
  </si>
</sst>
</file>

<file path=xl/styles.xml><?xml version="1.0" encoding="utf-8"?>
<styleSheet xmlns="http://schemas.openxmlformats.org/spreadsheetml/2006/main">
  <numFmts count="5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00000_ "/>
    <numFmt numFmtId="182" formatCode="0.0000000_ "/>
    <numFmt numFmtId="183" formatCode="0.000000_ "/>
    <numFmt numFmtId="184" formatCode="0.00000_ "/>
    <numFmt numFmtId="185" formatCode="0.0000_ "/>
    <numFmt numFmtId="186" formatCode="0.000_ "/>
    <numFmt numFmtId="187" formatCode="0.00_ "/>
    <numFmt numFmtId="188" formatCode="0.0_ "/>
    <numFmt numFmtId="189" formatCode="0_ "/>
    <numFmt numFmtId="190" formatCode="0.0%"/>
    <numFmt numFmtId="191" formatCode="0.000%"/>
    <numFmt numFmtId="192" formatCode="_-* #,##0.0_-;\-* #,##0.0_-;_-* &quot;-&quot;?_-;_-@_-"/>
    <numFmt numFmtId="193" formatCode="#,##0_ "/>
    <numFmt numFmtId="194" formatCode="#&quot;△&quot;#"/>
    <numFmt numFmtId="195" formatCode="#,##0_);[Red]\(#,##0\)"/>
    <numFmt numFmtId="196" formatCode="_-* #,##0.0000_-;\-* #,##0.0000_-;_-* &quot;-&quot;????_-;_-@_-"/>
    <numFmt numFmtId="197" formatCode="_-* #,##0.000000000_-;\-* #,##0.000000000_-;_-* &quot;-&quot;?????????_-;_-@_-"/>
    <numFmt numFmtId="198" formatCode="[$-412]yyyy&quot;년 &quot;m&quot;월 &quot;d&quot;일 &quot;dddd"/>
    <numFmt numFmtId="199" formatCode="[$-412]AM/PM\ h:mm:ss"/>
    <numFmt numFmtId="200" formatCode="0_);[Red]\(0\)"/>
    <numFmt numFmtId="201" formatCode="[$-412]yyyy&quot;년&quot;\ m&quot;월&quot;\ d&quot;일&quot;\ dddd"/>
    <numFmt numFmtId="202" formatCode="_-* #,##0.000_-;\-* #,##0.000_-;_-* &quot;-&quot;??_-;_-@_-"/>
    <numFmt numFmtId="203" formatCode="_-* #,##0.0_-;\-* #,##0.0_-;_-* &quot;-&quot;??_-;_-@_-"/>
    <numFmt numFmtId="204" formatCode="_-* #,##0_-;\-* #,##0_-;_-* &quot;-&quot;??_-;_-@_-"/>
    <numFmt numFmtId="205" formatCode="#,##0.0_ "/>
    <numFmt numFmtId="206" formatCode="0.0_);[Red]\(0.0\)"/>
    <numFmt numFmtId="207" formatCode="0.00_);[Red]\(0.00\)"/>
    <numFmt numFmtId="208" formatCode="[Black]\△#,##0;[Black]\▽#,##0"/>
    <numFmt numFmtId="209" formatCode="[Black]\△#,##0;"/>
    <numFmt numFmtId="210" formatCode="[Black]\△#,##0;[Black]\△#,##0"/>
    <numFmt numFmtId="211" formatCode="000\-000"/>
    <numFmt numFmtId="212" formatCode="#,##0_);\(#,##0\)"/>
    <numFmt numFmtId="213" formatCode="0_);\(0\)"/>
  </numFmts>
  <fonts count="74">
    <font>
      <sz val="11"/>
      <name val="돋움"/>
      <family val="3"/>
    </font>
    <font>
      <sz val="8"/>
      <name val="돋움"/>
      <family val="3"/>
    </font>
    <font>
      <sz val="11"/>
      <name val="굴림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24"/>
      <name val="굴림"/>
      <family val="3"/>
    </font>
    <font>
      <sz val="10"/>
      <name val="굴림"/>
      <family val="3"/>
    </font>
    <font>
      <sz val="10"/>
      <name val="돋움"/>
      <family val="3"/>
    </font>
    <font>
      <b/>
      <sz val="10"/>
      <name val="굴림"/>
      <family val="3"/>
    </font>
    <font>
      <b/>
      <sz val="10"/>
      <color indexed="8"/>
      <name val="굴림"/>
      <family val="3"/>
    </font>
    <font>
      <sz val="9"/>
      <color indexed="8"/>
      <name val="굴림"/>
      <family val="3"/>
    </font>
    <font>
      <b/>
      <sz val="9"/>
      <name val="굴림"/>
      <family val="3"/>
    </font>
    <font>
      <sz val="9"/>
      <name val="굴림"/>
      <family val="3"/>
    </font>
    <font>
      <b/>
      <sz val="9"/>
      <color indexed="8"/>
      <name val="굴림"/>
      <family val="3"/>
    </font>
    <font>
      <b/>
      <sz val="11"/>
      <name val="돋움"/>
      <family val="3"/>
    </font>
    <font>
      <sz val="8"/>
      <name val="굴림"/>
      <family val="3"/>
    </font>
    <font>
      <b/>
      <sz val="11"/>
      <name val="굴림"/>
      <family val="3"/>
    </font>
    <font>
      <b/>
      <u val="singleAccounting"/>
      <sz val="11"/>
      <name val="돋움"/>
      <family val="3"/>
    </font>
    <font>
      <b/>
      <sz val="12"/>
      <name val="돋움"/>
      <family val="3"/>
    </font>
    <font>
      <b/>
      <sz val="15"/>
      <name val="굴림"/>
      <family val="3"/>
    </font>
    <font>
      <sz val="15"/>
      <name val="굴림"/>
      <family val="3"/>
    </font>
    <font>
      <sz val="14"/>
      <name val="돋움"/>
      <family val="3"/>
    </font>
    <font>
      <b/>
      <sz val="14"/>
      <name val="돋움"/>
      <family val="3"/>
    </font>
    <font>
      <b/>
      <sz val="16"/>
      <name val="돋움"/>
      <family val="3"/>
    </font>
    <font>
      <b/>
      <sz val="20"/>
      <name val="굴림"/>
      <family val="3"/>
    </font>
    <font>
      <b/>
      <sz val="36"/>
      <name val="휴먼엑스포"/>
      <family val="1"/>
    </font>
    <font>
      <b/>
      <sz val="24"/>
      <name val="굴림"/>
      <family val="3"/>
    </font>
    <font>
      <b/>
      <sz val="10"/>
      <name val="돋움"/>
      <family val="3"/>
    </font>
    <font>
      <sz val="12"/>
      <name val="돋움"/>
      <family val="3"/>
    </font>
    <font>
      <b/>
      <sz val="13"/>
      <name val="돋움"/>
      <family val="3"/>
    </font>
    <font>
      <b/>
      <sz val="25"/>
      <name val="돋움"/>
      <family val="3"/>
    </font>
    <font>
      <b/>
      <sz val="25"/>
      <name val="휴먼엑스포"/>
      <family val="1"/>
    </font>
    <font>
      <sz val="9"/>
      <color indexed="10"/>
      <name val="굴림"/>
      <family val="3"/>
    </font>
    <font>
      <b/>
      <sz val="22"/>
      <name val="휴먼엑스포"/>
      <family val="1"/>
    </font>
    <font>
      <b/>
      <sz val="22"/>
      <name val="Calibri"/>
      <family val="2"/>
    </font>
    <font>
      <sz val="6"/>
      <name val="굴림"/>
      <family val="3"/>
    </font>
    <font>
      <b/>
      <sz val="22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30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rgb="FF000000"/>
      <name val="굴림"/>
      <family val="3"/>
    </font>
    <font>
      <b/>
      <sz val="11"/>
      <color rgb="FF0070C0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31" borderId="1" applyNumberFormat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  <xf numFmtId="0" fontId="7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03"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41" fontId="6" fillId="0" borderId="10" xfId="48" applyFont="1" applyBorder="1" applyAlignment="1">
      <alignment vertical="center"/>
    </xf>
    <xf numFmtId="41" fontId="6" fillId="0" borderId="11" xfId="48" applyFont="1" applyBorder="1" applyAlignment="1">
      <alignment vertical="center"/>
    </xf>
    <xf numFmtId="41" fontId="6" fillId="0" borderId="12" xfId="48" applyFont="1" applyBorder="1" applyAlignment="1">
      <alignment vertical="center"/>
    </xf>
    <xf numFmtId="41" fontId="8" fillId="0" borderId="13" xfId="48" applyFont="1" applyBorder="1" applyAlignment="1">
      <alignment vertical="center"/>
    </xf>
    <xf numFmtId="0" fontId="6" fillId="0" borderId="0" xfId="0" applyFont="1" applyAlignment="1">
      <alignment vertical="center"/>
    </xf>
    <xf numFmtId="41" fontId="8" fillId="0" borderId="14" xfId="48" applyFont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15" xfId="0" applyFont="1" applyBorder="1" applyAlignment="1">
      <alignment vertical="center"/>
    </xf>
    <xf numFmtId="0" fontId="10" fillId="0" borderId="16" xfId="0" applyFont="1" applyBorder="1" applyAlignment="1">
      <alignment horizontal="justify" vertical="center" wrapText="1"/>
    </xf>
    <xf numFmtId="0" fontId="10" fillId="0" borderId="17" xfId="0" applyFont="1" applyBorder="1" applyAlignment="1">
      <alignment horizontal="justify" vertical="center" wrapText="1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justify" vertical="center"/>
    </xf>
    <xf numFmtId="0" fontId="8" fillId="0" borderId="23" xfId="0" applyFont="1" applyBorder="1" applyAlignment="1">
      <alignment horizontal="center" vertical="center"/>
    </xf>
    <xf numFmtId="0" fontId="6" fillId="0" borderId="21" xfId="0" applyFont="1" applyBorder="1" applyAlignment="1">
      <alignment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41" fontId="12" fillId="0" borderId="22" xfId="48" applyFont="1" applyFill="1" applyBorder="1" applyAlignment="1">
      <alignment horizontal="left" vertical="center" wrapText="1"/>
    </xf>
    <xf numFmtId="41" fontId="6" fillId="0" borderId="13" xfId="48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1" fontId="2" fillId="0" borderId="14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41" fontId="12" fillId="0" borderId="26" xfId="48" applyFont="1" applyFill="1" applyBorder="1" applyAlignment="1">
      <alignment horizontal="left" vertical="center" wrapText="1"/>
    </xf>
    <xf numFmtId="0" fontId="12" fillId="0" borderId="27" xfId="0" applyFont="1" applyFill="1" applyBorder="1" applyAlignment="1">
      <alignment horizontal="center" vertical="center" wrapText="1"/>
    </xf>
    <xf numFmtId="41" fontId="0" fillId="0" borderId="0" xfId="0" applyNumberFormat="1" applyAlignment="1">
      <alignment vertical="center"/>
    </xf>
    <xf numFmtId="41" fontId="6" fillId="0" borderId="0" xfId="48" applyFont="1" applyBorder="1" applyAlignment="1">
      <alignment vertical="center"/>
    </xf>
    <xf numFmtId="41" fontId="16" fillId="0" borderId="14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193" fontId="0" fillId="0" borderId="0" xfId="0" applyNumberFormat="1" applyAlignment="1">
      <alignment vertical="center"/>
    </xf>
    <xf numFmtId="41" fontId="7" fillId="0" borderId="0" xfId="0" applyNumberFormat="1" applyFont="1" applyAlignment="1">
      <alignment vertical="center"/>
    </xf>
    <xf numFmtId="0" fontId="6" fillId="0" borderId="29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0" fillId="0" borderId="30" xfId="0" applyBorder="1" applyAlignment="1">
      <alignment horizontal="right" vertical="center"/>
    </xf>
    <xf numFmtId="0" fontId="12" fillId="0" borderId="24" xfId="0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horizontal="justify" vertical="center"/>
    </xf>
    <xf numFmtId="0" fontId="12" fillId="0" borderId="19" xfId="0" applyFont="1" applyFill="1" applyBorder="1" applyAlignment="1">
      <alignment horizontal="center" vertical="center" wrapText="1"/>
    </xf>
    <xf numFmtId="41" fontId="6" fillId="0" borderId="0" xfId="0" applyNumberFormat="1" applyFont="1" applyAlignment="1">
      <alignment vertical="center"/>
    </xf>
    <xf numFmtId="0" fontId="6" fillId="0" borderId="21" xfId="0" applyFont="1" applyBorder="1" applyAlignment="1">
      <alignment vertical="center"/>
    </xf>
    <xf numFmtId="41" fontId="6" fillId="0" borderId="31" xfId="48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15" fillId="0" borderId="2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193" fontId="7" fillId="0" borderId="0" xfId="0" applyNumberFormat="1" applyFont="1" applyAlignment="1">
      <alignment vertical="center"/>
    </xf>
    <xf numFmtId="43" fontId="0" fillId="0" borderId="0" xfId="0" applyNumberFormat="1" applyAlignment="1">
      <alignment vertical="center"/>
    </xf>
    <xf numFmtId="190" fontId="0" fillId="0" borderId="0" xfId="0" applyNumberFormat="1" applyAlignment="1">
      <alignment vertical="center"/>
    </xf>
    <xf numFmtId="196" fontId="0" fillId="0" borderId="0" xfId="0" applyNumberFormat="1" applyAlignment="1">
      <alignment vertical="center"/>
    </xf>
    <xf numFmtId="41" fontId="17" fillId="0" borderId="0" xfId="0" applyNumberFormat="1" applyFont="1" applyAlignment="1">
      <alignment vertical="center"/>
    </xf>
    <xf numFmtId="0" fontId="6" fillId="0" borderId="28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195" fontId="0" fillId="0" borderId="0" xfId="0" applyNumberFormat="1" applyBorder="1" applyAlignment="1">
      <alignment vertical="center"/>
    </xf>
    <xf numFmtId="195" fontId="0" fillId="0" borderId="0" xfId="0" applyNumberFormat="1" applyAlignment="1">
      <alignment vertical="center"/>
    </xf>
    <xf numFmtId="195" fontId="7" fillId="0" borderId="0" xfId="0" applyNumberFormat="1" applyFont="1" applyAlignment="1">
      <alignment vertical="center"/>
    </xf>
    <xf numFmtId="195" fontId="5" fillId="0" borderId="0" xfId="0" applyNumberFormat="1" applyFont="1" applyBorder="1" applyAlignment="1">
      <alignment vertical="center"/>
    </xf>
    <xf numFmtId="195" fontId="6" fillId="0" borderId="32" xfId="48" applyNumberFormat="1" applyFont="1" applyFill="1" applyBorder="1" applyAlignment="1">
      <alignment vertical="center"/>
    </xf>
    <xf numFmtId="195" fontId="0" fillId="0" borderId="0" xfId="0" applyNumberFormat="1" applyFill="1" applyAlignment="1">
      <alignment vertical="center"/>
    </xf>
    <xf numFmtId="195" fontId="7" fillId="0" borderId="0" xfId="0" applyNumberFormat="1" applyFont="1" applyFill="1" applyAlignment="1">
      <alignment vertical="center"/>
    </xf>
    <xf numFmtId="195" fontId="0" fillId="0" borderId="0" xfId="0" applyNumberFormat="1" applyFill="1" applyBorder="1" applyAlignment="1">
      <alignment vertical="center"/>
    </xf>
    <xf numFmtId="0" fontId="6" fillId="0" borderId="24" xfId="0" applyFont="1" applyBorder="1" applyAlignment="1">
      <alignment horizontal="center" vertical="center" wrapText="1"/>
    </xf>
    <xf numFmtId="41" fontId="8" fillId="0" borderId="33" xfId="48" applyFont="1" applyBorder="1" applyAlignment="1">
      <alignment vertical="center"/>
    </xf>
    <xf numFmtId="41" fontId="0" fillId="0" borderId="34" xfId="0" applyNumberFormat="1" applyBorder="1" applyAlignment="1">
      <alignment vertical="center"/>
    </xf>
    <xf numFmtId="41" fontId="18" fillId="0" borderId="34" xfId="0" applyNumberFormat="1" applyFont="1" applyBorder="1" applyAlignment="1">
      <alignment vertical="center"/>
    </xf>
    <xf numFmtId="41" fontId="7" fillId="0" borderId="34" xfId="0" applyNumberFormat="1" applyFont="1" applyBorder="1" applyAlignment="1">
      <alignment vertical="center"/>
    </xf>
    <xf numFmtId="41" fontId="6" fillId="0" borderId="14" xfId="0" applyNumberFormat="1" applyFont="1" applyBorder="1" applyAlignment="1">
      <alignment vertical="center"/>
    </xf>
    <xf numFmtId="41" fontId="8" fillId="0" borderId="35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horizontal="right" vertical="center"/>
    </xf>
    <xf numFmtId="0" fontId="22" fillId="0" borderId="12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190" fontId="17" fillId="0" borderId="0" xfId="0" applyNumberFormat="1" applyFont="1" applyAlignment="1">
      <alignment vertical="center"/>
    </xf>
    <xf numFmtId="41" fontId="2" fillId="0" borderId="13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vertical="center"/>
    </xf>
    <xf numFmtId="194" fontId="23" fillId="0" borderId="0" xfId="0" applyNumberFormat="1" applyFont="1" applyBorder="1" applyAlignment="1">
      <alignment horizontal="center" vertical="center"/>
    </xf>
    <xf numFmtId="41" fontId="21" fillId="0" borderId="0" xfId="48" applyFont="1" applyFill="1" applyBorder="1" applyAlignment="1">
      <alignment horizontal="right" vertical="center"/>
    </xf>
    <xf numFmtId="41" fontId="16" fillId="0" borderId="37" xfId="48" applyFont="1" applyBorder="1" applyAlignment="1">
      <alignment vertical="center"/>
    </xf>
    <xf numFmtId="0" fontId="16" fillId="0" borderId="25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1" fontId="6" fillId="0" borderId="0" xfId="48" applyFont="1" applyFill="1" applyBorder="1" applyAlignment="1">
      <alignment horizontal="left" vertical="center"/>
    </xf>
    <xf numFmtId="0" fontId="9" fillId="0" borderId="0" xfId="0" applyFont="1" applyBorder="1" applyAlignment="1">
      <alignment horizontal="justify" vertical="center"/>
    </xf>
    <xf numFmtId="41" fontId="6" fillId="0" borderId="0" xfId="48" applyFont="1" applyFill="1" applyBorder="1" applyAlignment="1">
      <alignment horizontal="left" vertical="center" wrapText="1"/>
    </xf>
    <xf numFmtId="41" fontId="6" fillId="0" borderId="0" xfId="48" applyNumberFormat="1" applyFont="1" applyFill="1" applyBorder="1" applyAlignment="1">
      <alignment horizontal="left" vertical="center" wrapText="1"/>
    </xf>
    <xf numFmtId="41" fontId="6" fillId="0" borderId="11" xfId="48" applyFont="1" applyBorder="1" applyAlignment="1">
      <alignment vertical="center"/>
    </xf>
    <xf numFmtId="41" fontId="8" fillId="0" borderId="11" xfId="48" applyFont="1" applyBorder="1" applyAlignment="1">
      <alignment vertical="center"/>
    </xf>
    <xf numFmtId="193" fontId="6" fillId="0" borderId="12" xfId="48" applyNumberFormat="1" applyFont="1" applyBorder="1" applyAlignment="1">
      <alignment vertical="center"/>
    </xf>
    <xf numFmtId="41" fontId="0" fillId="0" borderId="34" xfId="0" applyNumberFormat="1" applyFont="1" applyBorder="1" applyAlignment="1">
      <alignment vertical="center"/>
    </xf>
    <xf numFmtId="41" fontId="6" fillId="0" borderId="38" xfId="48" applyFont="1" applyBorder="1" applyAlignment="1">
      <alignment vertical="center"/>
    </xf>
    <xf numFmtId="41" fontId="12" fillId="0" borderId="39" xfId="48" applyFont="1" applyFill="1" applyBorder="1" applyAlignment="1">
      <alignment horizontal="left" vertical="center" wrapText="1"/>
    </xf>
    <xf numFmtId="41" fontId="7" fillId="0" borderId="40" xfId="0" applyNumberFormat="1" applyFont="1" applyBorder="1" applyAlignment="1">
      <alignment vertical="center"/>
    </xf>
    <xf numFmtId="0" fontId="6" fillId="0" borderId="39" xfId="0" applyFont="1" applyBorder="1" applyAlignment="1">
      <alignment horizontal="center" vertical="center" wrapText="1"/>
    </xf>
    <xf numFmtId="41" fontId="6" fillId="0" borderId="0" xfId="48" applyFont="1" applyAlignment="1">
      <alignment vertical="center"/>
    </xf>
    <xf numFmtId="41" fontId="12" fillId="0" borderId="41" xfId="48" applyFont="1" applyFill="1" applyBorder="1" applyAlignment="1">
      <alignment horizontal="left" vertical="center" wrapText="1"/>
    </xf>
    <xf numFmtId="41" fontId="12" fillId="0" borderId="20" xfId="48" applyFont="1" applyFill="1" applyBorder="1" applyAlignment="1">
      <alignment horizontal="left" vertical="center" wrapText="1"/>
    </xf>
    <xf numFmtId="41" fontId="0" fillId="0" borderId="0" xfId="48" applyFont="1" applyAlignment="1">
      <alignment vertical="center"/>
    </xf>
    <xf numFmtId="0" fontId="6" fillId="0" borderId="42" xfId="0" applyFont="1" applyBorder="1" applyAlignment="1">
      <alignment horizontal="center" vertical="center"/>
    </xf>
    <xf numFmtId="41" fontId="12" fillId="0" borderId="43" xfId="48" applyFont="1" applyFill="1" applyBorder="1" applyAlignment="1">
      <alignment horizontal="left" vertical="center" wrapText="1"/>
    </xf>
    <xf numFmtId="41" fontId="6" fillId="0" borderId="44" xfId="48" applyFont="1" applyBorder="1" applyAlignment="1">
      <alignment vertical="center"/>
    </xf>
    <xf numFmtId="41" fontId="0" fillId="0" borderId="0" xfId="0" applyNumberFormat="1" applyAlignment="1" quotePrefix="1">
      <alignment vertical="center"/>
    </xf>
    <xf numFmtId="0" fontId="6" fillId="0" borderId="21" xfId="0" applyFont="1" applyBorder="1" applyAlignment="1">
      <alignment horizontal="center" vertical="top" wrapText="1"/>
    </xf>
    <xf numFmtId="41" fontId="6" fillId="0" borderId="13" xfId="48" applyFont="1" applyBorder="1" applyAlignment="1">
      <alignment vertical="center"/>
    </xf>
    <xf numFmtId="41" fontId="6" fillId="0" borderId="11" xfId="48" applyFont="1" applyBorder="1" applyAlignment="1">
      <alignment horizontal="center" vertical="center"/>
    </xf>
    <xf numFmtId="41" fontId="12" fillId="0" borderId="17" xfId="48" applyFont="1" applyFill="1" applyBorder="1" applyAlignment="1">
      <alignment horizontal="left" vertical="center" wrapText="1"/>
    </xf>
    <xf numFmtId="41" fontId="6" fillId="0" borderId="35" xfId="48" applyFont="1" applyBorder="1" applyAlignment="1">
      <alignment vertical="center"/>
    </xf>
    <xf numFmtId="41" fontId="12" fillId="0" borderId="45" xfId="48" applyFont="1" applyFill="1" applyBorder="1" applyAlignment="1">
      <alignment horizontal="left" vertical="center" wrapText="1"/>
    </xf>
    <xf numFmtId="41" fontId="7" fillId="0" borderId="0" xfId="0" applyNumberFormat="1" applyFont="1" applyBorder="1" applyAlignment="1">
      <alignment vertical="center"/>
    </xf>
    <xf numFmtId="41" fontId="12" fillId="0" borderId="16" xfId="48" applyFont="1" applyFill="1" applyBorder="1" applyAlignment="1">
      <alignment horizontal="left" vertical="center" wrapText="1"/>
    </xf>
    <xf numFmtId="193" fontId="6" fillId="0" borderId="11" xfId="48" applyNumberFormat="1" applyFont="1" applyBorder="1" applyAlignment="1">
      <alignment vertical="center"/>
    </xf>
    <xf numFmtId="0" fontId="6" fillId="0" borderId="46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193" fontId="6" fillId="0" borderId="47" xfId="48" applyNumberFormat="1" applyFont="1" applyBorder="1" applyAlignment="1">
      <alignment vertical="center"/>
    </xf>
    <xf numFmtId="0" fontId="6" fillId="0" borderId="17" xfId="0" applyFont="1" applyBorder="1" applyAlignment="1">
      <alignment horizontal="center" vertical="center" wrapText="1"/>
    </xf>
    <xf numFmtId="41" fontId="6" fillId="0" borderId="48" xfId="48" applyFont="1" applyBorder="1" applyAlignment="1">
      <alignment vertical="center"/>
    </xf>
    <xf numFmtId="41" fontId="6" fillId="0" borderId="49" xfId="48" applyFont="1" applyBorder="1" applyAlignment="1">
      <alignment vertical="center"/>
    </xf>
    <xf numFmtId="41" fontId="6" fillId="0" borderId="38" xfId="48" applyFont="1" applyBorder="1" applyAlignment="1">
      <alignment horizontal="center" vertical="center"/>
    </xf>
    <xf numFmtId="41" fontId="6" fillId="0" borderId="50" xfId="48" applyFont="1" applyBorder="1" applyAlignment="1">
      <alignment vertical="center"/>
    </xf>
    <xf numFmtId="41" fontId="12" fillId="0" borderId="25" xfId="0" applyNumberFormat="1" applyFont="1" applyFill="1" applyBorder="1" applyAlignment="1">
      <alignment horizontal="center" vertical="center"/>
    </xf>
    <xf numFmtId="41" fontId="12" fillId="0" borderId="51" xfId="48" applyFont="1" applyFill="1" applyBorder="1" applyAlignment="1">
      <alignment horizontal="left" vertical="center"/>
    </xf>
    <xf numFmtId="41" fontId="12" fillId="0" borderId="25" xfId="48" applyFont="1" applyFill="1" applyBorder="1" applyAlignment="1">
      <alignment horizontal="left" vertical="center"/>
    </xf>
    <xf numFmtId="41" fontId="12" fillId="0" borderId="51" xfId="48" applyFont="1" applyFill="1" applyBorder="1" applyAlignment="1">
      <alignment horizontal="left" vertical="center" wrapText="1"/>
    </xf>
    <xf numFmtId="41" fontId="6" fillId="0" borderId="52" xfId="48" applyFont="1" applyBorder="1" applyAlignment="1">
      <alignment vertical="center"/>
    </xf>
    <xf numFmtId="41" fontId="6" fillId="0" borderId="38" xfId="48" applyFont="1" applyBorder="1" applyAlignment="1">
      <alignment vertical="center"/>
    </xf>
    <xf numFmtId="41" fontId="7" fillId="0" borderId="0" xfId="48" applyFont="1" applyAlignment="1">
      <alignment vertical="center"/>
    </xf>
    <xf numFmtId="0" fontId="6" fillId="0" borderId="42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195" fontId="6" fillId="0" borderId="37" xfId="48" applyNumberFormat="1" applyFont="1" applyFill="1" applyBorder="1" applyAlignment="1">
      <alignment vertical="center"/>
    </xf>
    <xf numFmtId="0" fontId="6" fillId="0" borderId="23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41" fontId="12" fillId="0" borderId="41" xfId="48" applyFont="1" applyFill="1" applyBorder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195" fontId="8" fillId="0" borderId="53" xfId="48" applyNumberFormat="1" applyFont="1" applyFill="1" applyBorder="1" applyAlignment="1">
      <alignment vertical="center"/>
    </xf>
    <xf numFmtId="195" fontId="8" fillId="0" borderId="37" xfId="48" applyNumberFormat="1" applyFont="1" applyFill="1" applyBorder="1" applyAlignment="1">
      <alignment vertical="center"/>
    </xf>
    <xf numFmtId="195" fontId="6" fillId="0" borderId="10" xfId="48" applyNumberFormat="1" applyFont="1" applyFill="1" applyBorder="1" applyAlignment="1">
      <alignment vertical="center"/>
    </xf>
    <xf numFmtId="0" fontId="22" fillId="0" borderId="47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195" fontId="6" fillId="0" borderId="11" xfId="48" applyNumberFormat="1" applyFont="1" applyFill="1" applyBorder="1" applyAlignment="1">
      <alignment vertical="center"/>
    </xf>
    <xf numFmtId="0" fontId="6" fillId="0" borderId="19" xfId="0" applyFont="1" applyBorder="1" applyAlignment="1">
      <alignment horizontal="center" vertical="center" wrapText="1"/>
    </xf>
    <xf numFmtId="195" fontId="6" fillId="0" borderId="54" xfId="48" applyNumberFormat="1" applyFont="1" applyFill="1" applyBorder="1" applyAlignment="1">
      <alignment vertical="center"/>
    </xf>
    <xf numFmtId="195" fontId="8" fillId="0" borderId="14" xfId="48" applyNumberFormat="1" applyFont="1" applyBorder="1" applyAlignment="1">
      <alignment horizontal="right" vertical="center"/>
    </xf>
    <xf numFmtId="49" fontId="0" fillId="0" borderId="0" xfId="0" applyNumberFormat="1" applyBorder="1" applyAlignment="1">
      <alignment vertical="center"/>
    </xf>
    <xf numFmtId="49" fontId="2" fillId="0" borderId="30" xfId="0" applyNumberFormat="1" applyFont="1" applyBorder="1" applyAlignment="1">
      <alignment vertical="center"/>
    </xf>
    <xf numFmtId="49" fontId="20" fillId="0" borderId="30" xfId="0" applyNumberFormat="1" applyFont="1" applyBorder="1" applyAlignment="1">
      <alignment horizontal="right" vertical="center"/>
    </xf>
    <xf numFmtId="49" fontId="19" fillId="0" borderId="0" xfId="0" applyNumberFormat="1" applyFont="1" applyBorder="1" applyAlignment="1">
      <alignment horizontal="center" vertical="center"/>
    </xf>
    <xf numFmtId="49" fontId="20" fillId="0" borderId="30" xfId="0" applyNumberFormat="1" applyFont="1" applyBorder="1" applyAlignment="1">
      <alignment vertical="center"/>
    </xf>
    <xf numFmtId="49" fontId="6" fillId="0" borderId="13" xfId="48" applyNumberFormat="1" applyFont="1" applyBorder="1" applyAlignment="1">
      <alignment vertical="center"/>
    </xf>
    <xf numFmtId="49" fontId="6" fillId="0" borderId="0" xfId="48" applyNumberFormat="1" applyFont="1" applyBorder="1" applyAlignment="1">
      <alignment horizontal="center" vertical="center"/>
    </xf>
    <xf numFmtId="49" fontId="6" fillId="0" borderId="11" xfId="48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justify" vertical="center" wrapText="1"/>
    </xf>
    <xf numFmtId="49" fontId="7" fillId="0" borderId="34" xfId="0" applyNumberFormat="1" applyFont="1" applyBorder="1" applyAlignment="1">
      <alignment vertical="center"/>
    </xf>
    <xf numFmtId="41" fontId="6" fillId="0" borderId="55" xfId="48" applyFont="1" applyBorder="1" applyAlignment="1">
      <alignment vertical="center"/>
    </xf>
    <xf numFmtId="41" fontId="7" fillId="0" borderId="56" xfId="0" applyNumberFormat="1" applyFont="1" applyBorder="1" applyAlignment="1">
      <alignment vertical="center"/>
    </xf>
    <xf numFmtId="41" fontId="7" fillId="0" borderId="57" xfId="0" applyNumberFormat="1" applyFont="1" applyBorder="1" applyAlignment="1">
      <alignment vertical="center"/>
    </xf>
    <xf numFmtId="0" fontId="8" fillId="0" borderId="23" xfId="0" applyFont="1" applyFill="1" applyBorder="1" applyAlignment="1">
      <alignment horizontal="center" vertical="center"/>
    </xf>
    <xf numFmtId="41" fontId="6" fillId="0" borderId="58" xfId="0" applyNumberFormat="1" applyFont="1" applyBorder="1" applyAlignment="1">
      <alignment horizontal="center" vertical="center" wrapText="1"/>
    </xf>
    <xf numFmtId="195" fontId="6" fillId="0" borderId="59" xfId="48" applyNumberFormat="1" applyFont="1" applyFill="1" applyBorder="1" applyAlignment="1">
      <alignment vertical="center"/>
    </xf>
    <xf numFmtId="41" fontId="6" fillId="0" borderId="47" xfId="48" applyFont="1" applyBorder="1" applyAlignment="1">
      <alignment vertical="center"/>
    </xf>
    <xf numFmtId="0" fontId="10" fillId="0" borderId="60" xfId="0" applyFont="1" applyBorder="1" applyAlignment="1">
      <alignment vertical="center" wrapText="1"/>
    </xf>
    <xf numFmtId="0" fontId="10" fillId="0" borderId="43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14" fillId="0" borderId="61" xfId="0" applyFont="1" applyBorder="1" applyAlignment="1">
      <alignment vertical="center"/>
    </xf>
    <xf numFmtId="0" fontId="14" fillId="0" borderId="0" xfId="0" applyFont="1" applyAlignment="1">
      <alignment vertical="center"/>
    </xf>
    <xf numFmtId="49" fontId="6" fillId="0" borderId="12" xfId="48" applyNumberFormat="1" applyFont="1" applyBorder="1" applyAlignment="1">
      <alignment vertical="center"/>
    </xf>
    <xf numFmtId="195" fontId="8" fillId="0" borderId="62" xfId="0" applyNumberFormat="1" applyFont="1" applyBorder="1" applyAlignment="1">
      <alignment horizontal="right" vertical="center" wrapText="1"/>
    </xf>
    <xf numFmtId="195" fontId="8" fillId="0" borderId="14" xfId="0" applyNumberFormat="1" applyFont="1" applyBorder="1" applyAlignment="1">
      <alignment horizontal="right" vertical="center" wrapText="1"/>
    </xf>
    <xf numFmtId="190" fontId="28" fillId="0" borderId="12" xfId="48" applyNumberFormat="1" applyFont="1" applyBorder="1" applyAlignment="1">
      <alignment vertical="center"/>
    </xf>
    <xf numFmtId="41" fontId="28" fillId="0" borderId="12" xfId="48" applyFont="1" applyBorder="1" applyAlignment="1">
      <alignment vertical="center"/>
    </xf>
    <xf numFmtId="190" fontId="28" fillId="0" borderId="10" xfId="48" applyNumberFormat="1" applyFont="1" applyBorder="1" applyAlignment="1">
      <alignment vertical="center"/>
    </xf>
    <xf numFmtId="41" fontId="28" fillId="0" borderId="10" xfId="48" applyFont="1" applyBorder="1" applyAlignment="1">
      <alignment vertical="center"/>
    </xf>
    <xf numFmtId="41" fontId="28" fillId="0" borderId="10" xfId="48" applyFont="1" applyBorder="1" applyAlignment="1">
      <alignment horizontal="right" vertical="center" wrapText="1"/>
    </xf>
    <xf numFmtId="193" fontId="28" fillId="0" borderId="10" xfId="48" applyNumberFormat="1" applyFont="1" applyFill="1" applyBorder="1" applyAlignment="1">
      <alignment vertical="center"/>
    </xf>
    <xf numFmtId="190" fontId="28" fillId="0" borderId="10" xfId="48" applyNumberFormat="1" applyFont="1" applyFill="1" applyBorder="1" applyAlignment="1">
      <alignment vertical="center"/>
    </xf>
    <xf numFmtId="41" fontId="28" fillId="0" borderId="12" xfId="0" applyNumberFormat="1" applyFont="1" applyBorder="1" applyAlignment="1">
      <alignment horizontal="center" vertical="center"/>
    </xf>
    <xf numFmtId="41" fontId="28" fillId="0" borderId="10" xfId="0" applyNumberFormat="1" applyFont="1" applyBorder="1" applyAlignment="1">
      <alignment horizontal="center" vertical="center"/>
    </xf>
    <xf numFmtId="41" fontId="28" fillId="0" borderId="10" xfId="48" applyFont="1" applyBorder="1" applyAlignment="1">
      <alignment horizontal="center" vertical="center"/>
    </xf>
    <xf numFmtId="190" fontId="28" fillId="0" borderId="10" xfId="43" applyNumberFormat="1" applyFont="1" applyBorder="1" applyAlignment="1">
      <alignment vertical="center"/>
    </xf>
    <xf numFmtId="41" fontId="28" fillId="0" borderId="47" xfId="0" applyNumberFormat="1" applyFont="1" applyBorder="1" applyAlignment="1">
      <alignment horizontal="center" vertical="center"/>
    </xf>
    <xf numFmtId="190" fontId="28" fillId="0" borderId="47" xfId="48" applyNumberFormat="1" applyFont="1" applyBorder="1" applyAlignment="1">
      <alignment vertical="center"/>
    </xf>
    <xf numFmtId="41" fontId="28" fillId="0" borderId="47" xfId="48" applyFont="1" applyBorder="1" applyAlignment="1">
      <alignment vertical="center"/>
    </xf>
    <xf numFmtId="190" fontId="28" fillId="0" borderId="47" xfId="43" applyNumberFormat="1" applyFont="1" applyBorder="1" applyAlignment="1">
      <alignment vertical="center"/>
    </xf>
    <xf numFmtId="41" fontId="6" fillId="0" borderId="11" xfId="48" applyFont="1" applyFill="1" applyBorder="1" applyAlignment="1">
      <alignment horizontal="right" vertical="center"/>
    </xf>
    <xf numFmtId="41" fontId="6" fillId="0" borderId="38" xfId="48" applyFont="1" applyFill="1" applyBorder="1" applyAlignment="1">
      <alignment horizontal="right" vertical="center"/>
    </xf>
    <xf numFmtId="0" fontId="72" fillId="0" borderId="25" xfId="0" applyFont="1" applyBorder="1" applyAlignment="1">
      <alignment horizontal="left" vertical="center" wrapText="1"/>
    </xf>
    <xf numFmtId="41" fontId="6" fillId="0" borderId="0" xfId="0" applyNumberFormat="1" applyFont="1" applyBorder="1" applyAlignment="1">
      <alignment horizontal="center" vertical="center" wrapText="1"/>
    </xf>
    <xf numFmtId="41" fontId="6" fillId="0" borderId="11" xfId="0" applyNumberFormat="1" applyFont="1" applyBorder="1" applyAlignment="1">
      <alignment horizontal="center" vertical="center" wrapText="1"/>
    </xf>
    <xf numFmtId="41" fontId="6" fillId="0" borderId="11" xfId="48" applyFont="1" applyBorder="1" applyAlignment="1">
      <alignment horizontal="right" vertical="center"/>
    </xf>
    <xf numFmtId="41" fontId="8" fillId="0" borderId="37" xfId="0" applyNumberFormat="1" applyFont="1" applyBorder="1" applyAlignment="1">
      <alignment vertical="center"/>
    </xf>
    <xf numFmtId="0" fontId="12" fillId="0" borderId="16" xfId="0" applyFont="1" applyBorder="1" applyAlignment="1">
      <alignment vertical="center" wrapText="1"/>
    </xf>
    <xf numFmtId="41" fontId="6" fillId="0" borderId="11" xfId="48" applyFont="1" applyFill="1" applyBorder="1" applyAlignment="1">
      <alignment horizontal="center" vertical="center" wrapText="1"/>
    </xf>
    <xf numFmtId="41" fontId="6" fillId="0" borderId="0" xfId="48" applyFont="1" applyFill="1" applyBorder="1" applyAlignment="1">
      <alignment horizontal="right" vertical="center"/>
    </xf>
    <xf numFmtId="41" fontId="6" fillId="0" borderId="63" xfId="48" applyFont="1" applyBorder="1" applyAlignment="1">
      <alignment vertical="center"/>
    </xf>
    <xf numFmtId="0" fontId="6" fillId="0" borderId="29" xfId="0" applyFont="1" applyBorder="1" applyAlignment="1">
      <alignment horizontal="center" vertical="center"/>
    </xf>
    <xf numFmtId="41" fontId="6" fillId="0" borderId="64" xfId="48" applyFont="1" applyBorder="1" applyAlignment="1">
      <alignment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0" fillId="0" borderId="66" xfId="0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9" fontId="28" fillId="0" borderId="58" xfId="43" applyFont="1" applyBorder="1" applyAlignment="1">
      <alignment vertical="center"/>
    </xf>
    <xf numFmtId="0" fontId="22" fillId="0" borderId="64" xfId="0" applyFont="1" applyBorder="1" applyAlignment="1">
      <alignment horizontal="center" vertical="center" wrapText="1"/>
    </xf>
    <xf numFmtId="41" fontId="28" fillId="0" borderId="64" xfId="48" applyFont="1" applyBorder="1" applyAlignment="1">
      <alignment horizontal="right" vertical="center" wrapText="1"/>
    </xf>
    <xf numFmtId="190" fontId="28" fillId="0" borderId="64" xfId="48" applyNumberFormat="1" applyFont="1" applyBorder="1" applyAlignment="1">
      <alignment vertical="center"/>
    </xf>
    <xf numFmtId="41" fontId="28" fillId="0" borderId="64" xfId="48" applyFont="1" applyBorder="1" applyAlignment="1">
      <alignment vertical="center"/>
    </xf>
    <xf numFmtId="0" fontId="29" fillId="0" borderId="0" xfId="0" applyFont="1" applyAlignment="1">
      <alignment horizontal="right" vertical="center" wrapText="1"/>
    </xf>
    <xf numFmtId="195" fontId="6" fillId="0" borderId="67" xfId="48" applyNumberFormat="1" applyFont="1" applyFill="1" applyBorder="1" applyAlignment="1">
      <alignment vertical="center"/>
    </xf>
    <xf numFmtId="195" fontId="6" fillId="0" borderId="53" xfId="48" applyNumberFormat="1" applyFont="1" applyFill="1" applyBorder="1" applyAlignment="1">
      <alignment vertical="center"/>
    </xf>
    <xf numFmtId="41" fontId="12" fillId="0" borderId="36" xfId="48" applyFont="1" applyFill="1" applyBorder="1" applyAlignment="1">
      <alignment horizontal="left" vertical="center" wrapText="1"/>
    </xf>
    <xf numFmtId="0" fontId="10" fillId="0" borderId="16" xfId="0" applyFont="1" applyBorder="1" applyAlignment="1">
      <alignment vertical="center" wrapText="1"/>
    </xf>
    <xf numFmtId="0" fontId="13" fillId="0" borderId="60" xfId="0" applyFont="1" applyBorder="1" applyAlignment="1">
      <alignment vertical="center" wrapText="1"/>
    </xf>
    <xf numFmtId="0" fontId="11" fillId="0" borderId="23" xfId="0" applyFont="1" applyBorder="1" applyAlignment="1">
      <alignment horizontal="center" vertical="center" wrapText="1"/>
    </xf>
    <xf numFmtId="41" fontId="8" fillId="0" borderId="14" xfId="48" applyFont="1" applyBorder="1" applyAlignment="1">
      <alignment horizontal="center" vertical="center"/>
    </xf>
    <xf numFmtId="41" fontId="16" fillId="0" borderId="37" xfId="48" applyFont="1" applyBorder="1" applyAlignment="1">
      <alignment horizontal="center" vertical="center"/>
    </xf>
    <xf numFmtId="41" fontId="6" fillId="0" borderId="58" xfId="48" applyFont="1" applyBorder="1" applyAlignment="1">
      <alignment horizontal="center" vertical="center"/>
    </xf>
    <xf numFmtId="41" fontId="6" fillId="0" borderId="58" xfId="48" applyFont="1" applyBorder="1" applyAlignment="1">
      <alignment vertical="center"/>
    </xf>
    <xf numFmtId="41" fontId="6" fillId="0" borderId="58" xfId="48" applyFont="1" applyFill="1" applyBorder="1" applyAlignment="1">
      <alignment horizontal="right" vertical="center"/>
    </xf>
    <xf numFmtId="0" fontId="10" fillId="0" borderId="45" xfId="0" applyFont="1" applyBorder="1" applyAlignment="1">
      <alignment horizontal="justify" vertical="center" wrapText="1"/>
    </xf>
    <xf numFmtId="41" fontId="8" fillId="0" borderId="52" xfId="48" applyFont="1" applyBorder="1" applyAlignment="1">
      <alignment vertical="center"/>
    </xf>
    <xf numFmtId="41" fontId="8" fillId="0" borderId="38" xfId="48" applyFont="1" applyBorder="1" applyAlignment="1">
      <alignment vertical="center"/>
    </xf>
    <xf numFmtId="0" fontId="22" fillId="0" borderId="38" xfId="0" applyFont="1" applyBorder="1" applyAlignment="1">
      <alignment horizontal="center" vertical="center"/>
    </xf>
    <xf numFmtId="41" fontId="18" fillId="0" borderId="38" xfId="0" applyNumberFormat="1" applyFont="1" applyBorder="1" applyAlignment="1">
      <alignment horizontal="center" vertical="center"/>
    </xf>
    <xf numFmtId="9" fontId="28" fillId="0" borderId="38" xfId="48" applyNumberFormat="1" applyFont="1" applyBorder="1" applyAlignment="1">
      <alignment vertical="center"/>
    </xf>
    <xf numFmtId="41" fontId="18" fillId="0" borderId="38" xfId="48" applyFont="1" applyBorder="1" applyAlignment="1">
      <alignment vertical="center"/>
    </xf>
    <xf numFmtId="195" fontId="8" fillId="0" borderId="14" xfId="48" applyNumberFormat="1" applyFont="1" applyFill="1" applyBorder="1" applyAlignment="1">
      <alignment vertical="center"/>
    </xf>
    <xf numFmtId="195" fontId="6" fillId="0" borderId="12" xfId="48" applyNumberFormat="1" applyFont="1" applyFill="1" applyBorder="1" applyAlignment="1">
      <alignment vertical="center"/>
    </xf>
    <xf numFmtId="195" fontId="6" fillId="0" borderId="12" xfId="48" applyNumberFormat="1" applyFont="1" applyBorder="1" applyAlignment="1">
      <alignment horizontal="right" vertical="center"/>
    </xf>
    <xf numFmtId="0" fontId="11" fillId="0" borderId="16" xfId="0" applyFont="1" applyBorder="1" applyAlignment="1">
      <alignment vertical="center" wrapText="1"/>
    </xf>
    <xf numFmtId="0" fontId="13" fillId="0" borderId="68" xfId="0" applyFont="1" applyBorder="1" applyAlignment="1">
      <alignment horizontal="justify" vertical="center" wrapText="1"/>
    </xf>
    <xf numFmtId="49" fontId="12" fillId="0" borderId="69" xfId="48" applyNumberFormat="1" applyFont="1" applyFill="1" applyBorder="1" applyAlignment="1">
      <alignment horizontal="left" vertical="center" wrapText="1"/>
    </xf>
    <xf numFmtId="178" fontId="12" fillId="0" borderId="22" xfId="48" applyNumberFormat="1" applyFont="1" applyFill="1" applyBorder="1" applyAlignment="1">
      <alignment horizontal="left" vertical="center" wrapText="1"/>
    </xf>
    <xf numFmtId="41" fontId="6" fillId="0" borderId="14" xfId="48" applyFont="1" applyBorder="1" applyAlignment="1">
      <alignment horizontal="center" vertical="center"/>
    </xf>
    <xf numFmtId="195" fontId="6" fillId="0" borderId="50" xfId="48" applyNumberFormat="1" applyFont="1" applyFill="1" applyBorder="1" applyAlignment="1">
      <alignment horizontal="right" vertical="center"/>
    </xf>
    <xf numFmtId="0" fontId="10" fillId="0" borderId="41" xfId="0" applyFont="1" applyBorder="1" applyAlignment="1">
      <alignment vertical="center" wrapText="1"/>
    </xf>
    <xf numFmtId="41" fontId="6" fillId="0" borderId="50" xfId="48" applyFont="1" applyBorder="1" applyAlignment="1">
      <alignment vertical="center"/>
    </xf>
    <xf numFmtId="41" fontId="12" fillId="0" borderId="70" xfId="48" applyFont="1" applyFill="1" applyBorder="1" applyAlignment="1">
      <alignment horizontal="left" vertical="center" wrapText="1"/>
    </xf>
    <xf numFmtId="195" fontId="6" fillId="0" borderId="64" xfId="48" applyNumberFormat="1" applyFont="1" applyBorder="1" applyAlignment="1">
      <alignment horizontal="right" vertical="center"/>
    </xf>
    <xf numFmtId="0" fontId="10" fillId="0" borderId="25" xfId="0" applyFont="1" applyBorder="1" applyAlignment="1">
      <alignment horizontal="left" vertical="center" wrapText="1"/>
    </xf>
    <xf numFmtId="210" fontId="28" fillId="0" borderId="71" xfId="48" applyNumberFormat="1" applyFont="1" applyFill="1" applyBorder="1" applyAlignment="1">
      <alignment horizontal="right" vertical="center"/>
    </xf>
    <xf numFmtId="41" fontId="28" fillId="0" borderId="71" xfId="48" applyFont="1" applyFill="1" applyBorder="1" applyAlignment="1">
      <alignment horizontal="right" vertical="center"/>
    </xf>
    <xf numFmtId="193" fontId="6" fillId="0" borderId="11" xfId="0" applyNumberFormat="1" applyFont="1" applyBorder="1" applyAlignment="1">
      <alignment vertical="center"/>
    </xf>
    <xf numFmtId="0" fontId="10" fillId="0" borderId="70" xfId="0" applyFont="1" applyBorder="1" applyAlignment="1">
      <alignment horizontal="justify" vertical="center" wrapText="1"/>
    </xf>
    <xf numFmtId="0" fontId="13" fillId="0" borderId="17" xfId="0" applyFont="1" applyBorder="1" applyAlignment="1">
      <alignment horizontal="justify" vertical="center" wrapText="1"/>
    </xf>
    <xf numFmtId="41" fontId="6" fillId="0" borderId="35" xfId="48" applyFont="1" applyBorder="1" applyAlignment="1">
      <alignment vertical="center"/>
    </xf>
    <xf numFmtId="49" fontId="6" fillId="0" borderId="10" xfId="48" applyNumberFormat="1" applyFont="1" applyBorder="1" applyAlignment="1">
      <alignment vertical="center"/>
    </xf>
    <xf numFmtId="49" fontId="12" fillId="0" borderId="72" xfId="48" applyNumberFormat="1" applyFont="1" applyFill="1" applyBorder="1" applyAlignment="1">
      <alignment horizontal="left" vertical="center" wrapText="1"/>
    </xf>
    <xf numFmtId="49" fontId="12" fillId="0" borderId="43" xfId="48" applyNumberFormat="1" applyFont="1" applyFill="1" applyBorder="1" applyAlignment="1">
      <alignment horizontal="left" vertical="center" wrapText="1"/>
    </xf>
    <xf numFmtId="0" fontId="12" fillId="0" borderId="46" xfId="0" applyFont="1" applyFill="1" applyBorder="1" applyAlignment="1">
      <alignment horizontal="center" vertical="center" wrapText="1"/>
    </xf>
    <xf numFmtId="210" fontId="6" fillId="0" borderId="50" xfId="48" applyNumberFormat="1" applyFont="1" applyBorder="1" applyAlignment="1">
      <alignment horizontal="right" vertical="center"/>
    </xf>
    <xf numFmtId="41" fontId="6" fillId="0" borderId="48" xfId="48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10" fillId="0" borderId="68" xfId="0" applyFont="1" applyBorder="1" applyAlignment="1">
      <alignment horizontal="justify" vertical="center" wrapText="1"/>
    </xf>
    <xf numFmtId="43" fontId="7" fillId="0" borderId="0" xfId="0" applyNumberFormat="1" applyFont="1" applyAlignment="1">
      <alignment vertical="center"/>
    </xf>
    <xf numFmtId="0" fontId="73" fillId="33" borderId="10" xfId="0" applyFont="1" applyFill="1" applyBorder="1" applyAlignment="1">
      <alignment horizontal="center" vertical="center"/>
    </xf>
    <xf numFmtId="195" fontId="73" fillId="33" borderId="10" xfId="0" applyNumberFormat="1" applyFont="1" applyFill="1" applyBorder="1" applyAlignment="1">
      <alignment horizontal="center" vertical="center"/>
    </xf>
    <xf numFmtId="200" fontId="6" fillId="0" borderId="58" xfId="48" applyNumberFormat="1" applyFont="1" applyFill="1" applyBorder="1" applyAlignment="1">
      <alignment horizontal="right" vertical="center"/>
    </xf>
    <xf numFmtId="41" fontId="8" fillId="0" borderId="14" xfId="48" applyFont="1" applyFill="1" applyBorder="1" applyAlignment="1">
      <alignment horizontal="right" vertical="center"/>
    </xf>
    <xf numFmtId="41" fontId="27" fillId="0" borderId="64" xfId="48" applyFont="1" applyFill="1" applyBorder="1" applyAlignment="1">
      <alignment horizontal="right" vertical="center"/>
    </xf>
    <xf numFmtId="0" fontId="10" fillId="0" borderId="17" xfId="0" applyFont="1" applyBorder="1" applyAlignment="1">
      <alignment horizontal="left" vertical="center" wrapText="1"/>
    </xf>
    <xf numFmtId="41" fontId="12" fillId="0" borderId="69" xfId="48" applyFont="1" applyFill="1" applyBorder="1" applyAlignment="1">
      <alignment horizontal="left" vertical="center" wrapText="1"/>
    </xf>
    <xf numFmtId="210" fontId="16" fillId="0" borderId="14" xfId="48" applyNumberFormat="1" applyFont="1" applyBorder="1" applyAlignment="1">
      <alignment horizontal="right" vertical="center"/>
    </xf>
    <xf numFmtId="212" fontId="28" fillId="0" borderId="41" xfId="48" applyNumberFormat="1" applyFont="1" applyFill="1" applyBorder="1" applyAlignment="1">
      <alignment horizontal="right" vertical="center"/>
    </xf>
    <xf numFmtId="0" fontId="2" fillId="0" borderId="66" xfId="0" applyFont="1" applyBorder="1" applyAlignment="1">
      <alignment vertical="center"/>
    </xf>
    <xf numFmtId="0" fontId="2" fillId="0" borderId="41" xfId="0" applyFont="1" applyBorder="1" applyAlignment="1">
      <alignment horizontal="center" vertical="center"/>
    </xf>
    <xf numFmtId="0" fontId="2" fillId="0" borderId="73" xfId="0" applyFont="1" applyBorder="1" applyAlignment="1">
      <alignment vertical="center"/>
    </xf>
    <xf numFmtId="210" fontId="6" fillId="0" borderId="12" xfId="48" applyNumberFormat="1" applyFont="1" applyFill="1" applyBorder="1" applyAlignment="1">
      <alignment horizontal="right" vertical="center"/>
    </xf>
    <xf numFmtId="41" fontId="7" fillId="0" borderId="12" xfId="48" applyFont="1" applyFill="1" applyBorder="1" applyAlignment="1">
      <alignment horizontal="right" vertical="center"/>
    </xf>
    <xf numFmtId="41" fontId="6" fillId="0" borderId="12" xfId="48" applyFont="1" applyFill="1" applyBorder="1" applyAlignment="1">
      <alignment horizontal="right" vertical="center"/>
    </xf>
    <xf numFmtId="41" fontId="16" fillId="0" borderId="14" xfId="48" applyFont="1" applyBorder="1" applyAlignment="1">
      <alignment horizontal="right" vertical="center"/>
    </xf>
    <xf numFmtId="41" fontId="8" fillId="0" borderId="35" xfId="48" applyFont="1" applyFill="1" applyBorder="1" applyAlignment="1">
      <alignment horizontal="right" vertical="center"/>
    </xf>
    <xf numFmtId="41" fontId="18" fillId="0" borderId="45" xfId="48" applyFont="1" applyFill="1" applyBorder="1" applyAlignment="1">
      <alignment horizontal="right" vertical="center"/>
    </xf>
    <xf numFmtId="41" fontId="18" fillId="0" borderId="68" xfId="48" applyFont="1" applyFill="1" applyBorder="1" applyAlignment="1">
      <alignment horizontal="right" vertical="center"/>
    </xf>
    <xf numFmtId="0" fontId="6" fillId="0" borderId="42" xfId="0" applyFont="1" applyFill="1" applyBorder="1" applyAlignment="1">
      <alignment horizontal="center" vertical="center"/>
    </xf>
    <xf numFmtId="41" fontId="6" fillId="0" borderId="52" xfId="48" applyFont="1" applyBorder="1" applyAlignment="1">
      <alignment vertical="center"/>
    </xf>
    <xf numFmtId="193" fontId="6" fillId="0" borderId="38" xfId="48" applyNumberFormat="1" applyFont="1" applyBorder="1" applyAlignment="1">
      <alignment vertical="center"/>
    </xf>
    <xf numFmtId="212" fontId="6" fillId="0" borderId="38" xfId="48" applyNumberFormat="1" applyFont="1" applyBorder="1" applyAlignment="1">
      <alignment horizontal="right" vertical="center"/>
    </xf>
    <xf numFmtId="41" fontId="12" fillId="0" borderId="68" xfId="48" applyFont="1" applyFill="1" applyBorder="1" applyAlignment="1">
      <alignment horizontal="left" vertical="center" wrapText="1"/>
    </xf>
    <xf numFmtId="0" fontId="8" fillId="0" borderId="23" xfId="0" applyNumberFormat="1" applyFont="1" applyBorder="1" applyAlignment="1">
      <alignment horizontal="center" vertical="center"/>
    </xf>
    <xf numFmtId="0" fontId="8" fillId="0" borderId="35" xfId="0" applyNumberFormat="1" applyFont="1" applyBorder="1" applyAlignment="1">
      <alignment vertical="center"/>
    </xf>
    <xf numFmtId="0" fontId="12" fillId="0" borderId="25" xfId="0" applyNumberFormat="1" applyFont="1" applyBorder="1" applyAlignment="1">
      <alignment vertical="center"/>
    </xf>
    <xf numFmtId="0" fontId="6" fillId="0" borderId="29" xfId="0" applyNumberFormat="1" applyFont="1" applyBorder="1" applyAlignment="1">
      <alignment horizontal="center" vertical="center"/>
    </xf>
    <xf numFmtId="0" fontId="8" fillId="0" borderId="44" xfId="0" applyNumberFormat="1" applyFont="1" applyBorder="1" applyAlignment="1">
      <alignment vertical="center"/>
    </xf>
    <xf numFmtId="0" fontId="12" fillId="0" borderId="69" xfId="0" applyNumberFormat="1" applyFont="1" applyBorder="1" applyAlignment="1">
      <alignment vertical="center"/>
    </xf>
    <xf numFmtId="0" fontId="8" fillId="0" borderId="42" xfId="0" applyFont="1" applyFill="1" applyBorder="1" applyAlignment="1">
      <alignment horizontal="center" vertical="center"/>
    </xf>
    <xf numFmtId="0" fontId="35" fillId="0" borderId="0" xfId="0" applyFont="1" applyBorder="1" applyAlignment="1">
      <alignment vertical="top" wrapText="1"/>
    </xf>
    <xf numFmtId="41" fontId="18" fillId="0" borderId="58" xfId="48" applyFont="1" applyBorder="1" applyAlignment="1">
      <alignment horizontal="right" vertical="center"/>
    </xf>
    <xf numFmtId="9" fontId="28" fillId="0" borderId="14" xfId="43" applyFont="1" applyBorder="1" applyAlignment="1">
      <alignment vertical="center"/>
    </xf>
    <xf numFmtId="41" fontId="18" fillId="0" borderId="58" xfId="48" applyFont="1" applyBorder="1" applyAlignment="1">
      <alignment vertical="center"/>
    </xf>
    <xf numFmtId="41" fontId="28" fillId="0" borderId="47" xfId="48" applyFont="1" applyBorder="1" applyAlignment="1">
      <alignment horizontal="right" vertical="center" wrapText="1"/>
    </xf>
    <xf numFmtId="190" fontId="28" fillId="0" borderId="38" xfId="48" applyNumberFormat="1" applyFont="1" applyBorder="1" applyAlignment="1">
      <alignment vertical="center"/>
    </xf>
    <xf numFmtId="193" fontId="6" fillId="0" borderId="38" xfId="48" applyNumberFormat="1" applyFont="1" applyBorder="1" applyAlignment="1">
      <alignment vertical="center"/>
    </xf>
    <xf numFmtId="41" fontId="6" fillId="0" borderId="30" xfId="48" applyFont="1" applyFill="1" applyBorder="1" applyAlignment="1">
      <alignment horizontal="right" vertical="center"/>
    </xf>
    <xf numFmtId="0" fontId="6" fillId="0" borderId="74" xfId="0" applyFont="1" applyBorder="1" applyAlignment="1">
      <alignment vertical="center"/>
    </xf>
    <xf numFmtId="0" fontId="6" fillId="0" borderId="75" xfId="0" applyFont="1" applyBorder="1" applyAlignment="1">
      <alignment vertical="center"/>
    </xf>
    <xf numFmtId="0" fontId="6" fillId="0" borderId="48" xfId="0" applyFont="1" applyBorder="1" applyAlignment="1">
      <alignment vertical="center"/>
    </xf>
    <xf numFmtId="200" fontId="6" fillId="0" borderId="64" xfId="48" applyNumberFormat="1" applyFont="1" applyFill="1" applyBorder="1" applyAlignment="1">
      <alignment horizontal="right" vertical="center"/>
    </xf>
    <xf numFmtId="200" fontId="7" fillId="0" borderId="64" xfId="48" applyNumberFormat="1" applyFont="1" applyFill="1" applyBorder="1" applyAlignment="1">
      <alignment horizontal="right" vertical="center"/>
    </xf>
    <xf numFmtId="200" fontId="8" fillId="0" borderId="14" xfId="48" applyNumberFormat="1" applyFont="1" applyFill="1" applyBorder="1" applyAlignment="1">
      <alignment horizontal="right" vertical="center"/>
    </xf>
    <xf numFmtId="200" fontId="6" fillId="0" borderId="11" xfId="48" applyNumberFormat="1" applyFont="1" applyFill="1" applyBorder="1" applyAlignment="1">
      <alignment horizontal="right" vertical="center"/>
    </xf>
    <xf numFmtId="210" fontId="8" fillId="0" borderId="14" xfId="48" applyNumberFormat="1" applyFont="1" applyFill="1" applyBorder="1" applyAlignment="1">
      <alignment horizontal="right" vertical="center"/>
    </xf>
    <xf numFmtId="200" fontId="27" fillId="0" borderId="64" xfId="48" applyNumberFormat="1" applyFont="1" applyFill="1" applyBorder="1" applyAlignment="1">
      <alignment horizontal="right" vertical="center"/>
    </xf>
    <xf numFmtId="200" fontId="6" fillId="0" borderId="38" xfId="48" applyNumberFormat="1" applyFont="1" applyFill="1" applyBorder="1" applyAlignment="1">
      <alignment horizontal="right" vertical="center"/>
    </xf>
    <xf numFmtId="41" fontId="6" fillId="0" borderId="14" xfId="48" applyFont="1" applyFill="1" applyBorder="1" applyAlignment="1">
      <alignment horizontal="right" vertical="center"/>
    </xf>
    <xf numFmtId="200" fontId="6" fillId="0" borderId="47" xfId="48" applyNumberFormat="1" applyFont="1" applyFill="1" applyBorder="1" applyAlignment="1">
      <alignment horizontal="right" vertical="center"/>
    </xf>
    <xf numFmtId="210" fontId="6" fillId="0" borderId="58" xfId="48" applyNumberFormat="1" applyFont="1" applyBorder="1" applyAlignment="1">
      <alignment horizontal="right" vertical="center"/>
    </xf>
    <xf numFmtId="0" fontId="6" fillId="0" borderId="11" xfId="48" applyNumberFormat="1" applyFont="1" applyBorder="1" applyAlignment="1">
      <alignment horizontal="right" vertical="center"/>
    </xf>
    <xf numFmtId="0" fontId="6" fillId="0" borderId="47" xfId="48" applyNumberFormat="1" applyFont="1" applyBorder="1" applyAlignment="1">
      <alignment horizontal="right" vertical="center"/>
    </xf>
    <xf numFmtId="0" fontId="16" fillId="0" borderId="14" xfId="48" applyNumberFormat="1" applyFont="1" applyBorder="1" applyAlignment="1">
      <alignment horizontal="right" vertical="center"/>
    </xf>
    <xf numFmtId="0" fontId="12" fillId="0" borderId="29" xfId="0" applyFont="1" applyFill="1" applyBorder="1" applyAlignment="1">
      <alignment horizontal="center" vertical="center" wrapText="1"/>
    </xf>
    <xf numFmtId="210" fontId="6" fillId="0" borderId="64" xfId="48" applyNumberFormat="1" applyFont="1" applyBorder="1" applyAlignment="1">
      <alignment horizontal="right" vertical="center"/>
    </xf>
    <xf numFmtId="49" fontId="12" fillId="0" borderId="70" xfId="48" applyNumberFormat="1" applyFont="1" applyFill="1" applyBorder="1" applyAlignment="1">
      <alignment horizontal="left" vertical="center" wrapText="1"/>
    </xf>
    <xf numFmtId="0" fontId="6" fillId="0" borderId="10" xfId="48" applyNumberFormat="1" applyFont="1" applyBorder="1" applyAlignment="1">
      <alignment horizontal="right" vertical="center"/>
    </xf>
    <xf numFmtId="0" fontId="6" fillId="0" borderId="14" xfId="48" applyNumberFormat="1" applyFont="1" applyBorder="1" applyAlignment="1">
      <alignment horizontal="right" vertical="center"/>
    </xf>
    <xf numFmtId="0" fontId="8" fillId="0" borderId="14" xfId="48" applyNumberFormat="1" applyFont="1" applyBorder="1" applyAlignment="1">
      <alignment horizontal="right" vertical="center"/>
    </xf>
    <xf numFmtId="0" fontId="6" fillId="0" borderId="64" xfId="48" applyNumberFormat="1" applyFont="1" applyBorder="1" applyAlignment="1">
      <alignment horizontal="right" vertical="center"/>
    </xf>
    <xf numFmtId="200" fontId="28" fillId="0" borderId="71" xfId="48" applyNumberFormat="1" applyFont="1" applyFill="1" applyBorder="1" applyAlignment="1">
      <alignment horizontal="right" vertical="center"/>
    </xf>
    <xf numFmtId="210" fontId="28" fillId="0" borderId="41" xfId="48" applyNumberFormat="1" applyFont="1" applyFill="1" applyBorder="1" applyAlignment="1">
      <alignment horizontal="right" vertical="center"/>
    </xf>
    <xf numFmtId="210" fontId="28" fillId="0" borderId="70" xfId="48" applyNumberFormat="1" applyFont="1" applyFill="1" applyBorder="1" applyAlignment="1">
      <alignment horizontal="right" vertical="center"/>
    </xf>
    <xf numFmtId="0" fontId="8" fillId="0" borderId="42" xfId="0" applyFont="1" applyBorder="1" applyAlignment="1">
      <alignment horizontal="center" vertical="center" wrapText="1"/>
    </xf>
    <xf numFmtId="49" fontId="8" fillId="0" borderId="42" xfId="0" applyNumberFormat="1" applyFont="1" applyBorder="1" applyAlignment="1">
      <alignment vertical="center" wrapText="1"/>
    </xf>
    <xf numFmtId="0" fontId="8" fillId="0" borderId="42" xfId="0" applyFont="1" applyBorder="1" applyAlignment="1">
      <alignment vertical="center" wrapText="1"/>
    </xf>
    <xf numFmtId="41" fontId="12" fillId="0" borderId="68" xfId="48" applyFont="1" applyFill="1" applyBorder="1" applyAlignment="1">
      <alignment horizontal="left" wrapText="1"/>
    </xf>
    <xf numFmtId="210" fontId="8" fillId="0" borderId="35" xfId="48" applyNumberFormat="1" applyFont="1" applyFill="1" applyBorder="1" applyAlignment="1">
      <alignment horizontal="right" vertical="center"/>
    </xf>
    <xf numFmtId="210" fontId="6" fillId="0" borderId="35" xfId="48" applyNumberFormat="1" applyFont="1" applyFill="1" applyBorder="1" applyAlignment="1">
      <alignment horizontal="right" vertical="center"/>
    </xf>
    <xf numFmtId="195" fontId="6" fillId="0" borderId="38" xfId="48" applyNumberFormat="1" applyFont="1" applyFill="1" applyBorder="1" applyAlignment="1">
      <alignment horizontal="right" vertical="center"/>
    </xf>
    <xf numFmtId="195" fontId="6" fillId="0" borderId="50" xfId="48" applyNumberFormat="1" applyFont="1" applyBorder="1" applyAlignment="1">
      <alignment horizontal="right" vertical="center"/>
    </xf>
    <xf numFmtId="200" fontId="6" fillId="0" borderId="50" xfId="48" applyNumberFormat="1" applyFont="1" applyFill="1" applyBorder="1" applyAlignment="1">
      <alignment horizontal="right" vertical="center"/>
    </xf>
    <xf numFmtId="200" fontId="6" fillId="0" borderId="50" xfId="48" applyNumberFormat="1" applyFont="1" applyBorder="1" applyAlignment="1">
      <alignment horizontal="right" vertical="center"/>
    </xf>
    <xf numFmtId="200" fontId="8" fillId="0" borderId="50" xfId="48" applyNumberFormat="1" applyFont="1" applyBorder="1" applyAlignment="1">
      <alignment horizontal="right" vertical="center"/>
    </xf>
    <xf numFmtId="200" fontId="6" fillId="0" borderId="14" xfId="48" applyNumberFormat="1" applyFont="1" applyBorder="1" applyAlignment="1">
      <alignment horizontal="right" vertical="center"/>
    </xf>
    <xf numFmtId="200" fontId="8" fillId="0" borderId="14" xfId="48" applyNumberFormat="1" applyFont="1" applyBorder="1" applyAlignment="1">
      <alignment horizontal="right" vertical="center"/>
    </xf>
    <xf numFmtId="195" fontId="6" fillId="0" borderId="38" xfId="48" applyNumberFormat="1" applyFont="1" applyBorder="1" applyAlignment="1">
      <alignment horizontal="right" vertical="center"/>
    </xf>
    <xf numFmtId="41" fontId="12" fillId="0" borderId="60" xfId="48" applyFont="1" applyFill="1" applyBorder="1" applyAlignment="1">
      <alignment horizontal="left" vertical="center" wrapText="1"/>
    </xf>
    <xf numFmtId="0" fontId="25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1" fillId="0" borderId="76" xfId="0" applyFont="1" applyBorder="1" applyAlignment="1">
      <alignment horizontal="center" vertical="center"/>
    </xf>
    <xf numFmtId="0" fontId="21" fillId="0" borderId="73" xfId="0" applyFont="1" applyBorder="1" applyAlignment="1">
      <alignment horizontal="center" vertical="center"/>
    </xf>
    <xf numFmtId="0" fontId="21" fillId="0" borderId="77" xfId="0" applyFont="1" applyBorder="1" applyAlignment="1">
      <alignment horizontal="center" vertical="center"/>
    </xf>
    <xf numFmtId="49" fontId="36" fillId="0" borderId="0" xfId="0" applyNumberFormat="1" applyFont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49" fontId="16" fillId="0" borderId="18" xfId="0" applyNumberFormat="1" applyFont="1" applyBorder="1" applyAlignment="1">
      <alignment horizontal="center" vertical="center"/>
    </xf>
    <xf numFmtId="49" fontId="16" fillId="0" borderId="36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195" fontId="2" fillId="0" borderId="63" xfId="0" applyNumberFormat="1" applyFont="1" applyBorder="1" applyAlignment="1">
      <alignment horizontal="center" vertical="center" wrapText="1"/>
    </xf>
    <xf numFmtId="195" fontId="2" fillId="0" borderId="52" xfId="0" applyNumberFormat="1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41" fontId="6" fillId="0" borderId="11" xfId="48" applyFont="1" applyBorder="1" applyAlignment="1">
      <alignment horizontal="center" vertical="center"/>
    </xf>
    <xf numFmtId="41" fontId="6" fillId="0" borderId="12" xfId="48" applyFont="1" applyBorder="1" applyAlignment="1">
      <alignment horizontal="center" vertical="center"/>
    </xf>
    <xf numFmtId="41" fontId="6" fillId="0" borderId="50" xfId="48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210" fontId="6" fillId="0" borderId="50" xfId="48" applyNumberFormat="1" applyFont="1" applyBorder="1" applyAlignment="1">
      <alignment horizontal="right" vertical="center"/>
    </xf>
    <xf numFmtId="210" fontId="6" fillId="0" borderId="12" xfId="48" applyNumberFormat="1" applyFont="1" applyBorder="1" applyAlignment="1">
      <alignment horizontal="right" vertical="center"/>
    </xf>
    <xf numFmtId="0" fontId="8" fillId="0" borderId="42" xfId="0" applyFont="1" applyBorder="1" applyAlignment="1">
      <alignment horizontal="center" vertical="center"/>
    </xf>
    <xf numFmtId="49" fontId="12" fillId="0" borderId="46" xfId="0" applyNumberFormat="1" applyFont="1" applyBorder="1" applyAlignment="1">
      <alignment horizontal="center" vertical="center" wrapText="1"/>
    </xf>
    <xf numFmtId="49" fontId="12" fillId="0" borderId="24" xfId="0" applyNumberFormat="1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200" fontId="6" fillId="0" borderId="11" xfId="48" applyNumberFormat="1" applyFont="1" applyBorder="1" applyAlignment="1">
      <alignment horizontal="right" vertical="center"/>
    </xf>
    <xf numFmtId="200" fontId="6" fillId="0" borderId="12" xfId="48" applyNumberFormat="1" applyFont="1" applyBorder="1" applyAlignment="1">
      <alignment horizontal="right" vertical="center"/>
    </xf>
    <xf numFmtId="0" fontId="6" fillId="0" borderId="46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2" fillId="0" borderId="63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200" fontId="6" fillId="0" borderId="50" xfId="48" applyNumberFormat="1" applyFont="1" applyBorder="1" applyAlignment="1">
      <alignment horizontal="right" vertical="center"/>
    </xf>
    <xf numFmtId="0" fontId="8" fillId="0" borderId="28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center" vertical="center"/>
    </xf>
    <xf numFmtId="49" fontId="8" fillId="0" borderId="28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49" fontId="8" fillId="0" borderId="42" xfId="0" applyNumberFormat="1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12</xdr:row>
      <xdr:rowOff>57150</xdr:rowOff>
    </xdr:from>
    <xdr:to>
      <xdr:col>2</xdr:col>
      <xdr:colOff>28575</xdr:colOff>
      <xdr:row>12</xdr:row>
      <xdr:rowOff>466725</xdr:rowOff>
    </xdr:to>
    <xdr:pic>
      <xdr:nvPicPr>
        <xdr:cNvPr id="1" name="그림 1" descr="성안복지재단_logo(70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6553200"/>
          <a:ext cx="2857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52450" y="3524250"/>
          <a:ext cx="4762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52450" y="3524250"/>
          <a:ext cx="4762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3" name="Rectangle 1"/>
        <xdr:cNvSpPr>
          <a:spLocks/>
        </xdr:cNvSpPr>
      </xdr:nvSpPr>
      <xdr:spPr>
        <a:xfrm>
          <a:off x="552450" y="3524250"/>
          <a:ext cx="4762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4" name="Rectangle 2"/>
        <xdr:cNvSpPr>
          <a:spLocks/>
        </xdr:cNvSpPr>
      </xdr:nvSpPr>
      <xdr:spPr>
        <a:xfrm>
          <a:off x="552450" y="3524250"/>
          <a:ext cx="4762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5" name="Rectangle 1"/>
        <xdr:cNvSpPr>
          <a:spLocks/>
        </xdr:cNvSpPr>
      </xdr:nvSpPr>
      <xdr:spPr>
        <a:xfrm>
          <a:off x="1028700" y="3524250"/>
          <a:ext cx="752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1" name="Rectangle 3"/>
        <xdr:cNvSpPr>
          <a:spLocks/>
        </xdr:cNvSpPr>
      </xdr:nvSpPr>
      <xdr:spPr>
        <a:xfrm>
          <a:off x="1076325" y="1419225"/>
          <a:ext cx="666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2" name="Rectangle 4"/>
        <xdr:cNvSpPr>
          <a:spLocks/>
        </xdr:cNvSpPr>
      </xdr:nvSpPr>
      <xdr:spPr>
        <a:xfrm>
          <a:off x="1076325" y="1419225"/>
          <a:ext cx="666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076325" y="1419225"/>
          <a:ext cx="666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076325" y="1419225"/>
          <a:ext cx="666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3" sqref="A1:I13"/>
    </sheetView>
  </sheetViews>
  <sheetFormatPr defaultColWidth="8.88671875" defaultRowHeight="13.5"/>
  <cols>
    <col min="1" max="1" width="7.5546875" style="0" customWidth="1"/>
    <col min="2" max="2" width="5.5546875" style="0" customWidth="1"/>
    <col min="3" max="3" width="14.4453125" style="0" customWidth="1"/>
    <col min="4" max="4" width="4.88671875" style="0" customWidth="1"/>
    <col min="5" max="5" width="7.3359375" style="0" customWidth="1"/>
    <col min="6" max="7" width="10.77734375" style="0" customWidth="1"/>
    <col min="8" max="8" width="8.3359375" style="0" customWidth="1"/>
    <col min="9" max="9" width="3.6640625" style="0" customWidth="1"/>
  </cols>
  <sheetData>
    <row r="1" spans="1:9" ht="19.5" customHeight="1">
      <c r="A1" s="169"/>
      <c r="B1" s="169"/>
      <c r="C1" s="169"/>
      <c r="D1" s="169"/>
      <c r="E1" s="169"/>
      <c r="F1" s="169"/>
      <c r="G1" s="169"/>
      <c r="H1" s="169"/>
      <c r="I1" s="169"/>
    </row>
    <row r="2" spans="1:9" ht="38.25" customHeight="1">
      <c r="A2" s="342"/>
      <c r="B2" s="342"/>
      <c r="C2" s="342"/>
      <c r="D2" s="342"/>
      <c r="E2" s="342"/>
      <c r="F2" s="342"/>
      <c r="G2" s="342"/>
      <c r="H2" s="342"/>
      <c r="I2" s="342"/>
    </row>
    <row r="3" spans="1:9" ht="39" customHeight="1">
      <c r="A3" s="170"/>
      <c r="B3" s="170"/>
      <c r="D3" s="170"/>
      <c r="E3" s="170"/>
      <c r="F3" s="170"/>
      <c r="G3" s="170"/>
      <c r="H3" s="170"/>
      <c r="I3" s="170"/>
    </row>
    <row r="4" spans="1:9" ht="39" customHeight="1">
      <c r="A4" s="343" t="s">
        <v>172</v>
      </c>
      <c r="B4" s="343"/>
      <c r="C4" s="343"/>
      <c r="D4" s="343"/>
      <c r="E4" s="343"/>
      <c r="F4" s="343"/>
      <c r="G4" s="343"/>
      <c r="H4" s="343"/>
      <c r="I4" s="343"/>
    </row>
    <row r="5" spans="1:9" ht="39" customHeight="1">
      <c r="A5" s="345" t="s">
        <v>93</v>
      </c>
      <c r="B5" s="345"/>
      <c r="C5" s="345"/>
      <c r="D5" s="345"/>
      <c r="E5" s="345"/>
      <c r="F5" s="345"/>
      <c r="G5" s="345"/>
      <c r="H5" s="345"/>
      <c r="I5" s="345"/>
    </row>
    <row r="6" spans="1:9" ht="57.75" customHeight="1">
      <c r="A6" s="169"/>
      <c r="B6" s="169"/>
      <c r="C6" s="169"/>
      <c r="D6" s="169"/>
      <c r="E6" s="169"/>
      <c r="F6" s="169"/>
      <c r="G6" s="169"/>
      <c r="H6" s="169"/>
      <c r="I6" s="169"/>
    </row>
    <row r="7" spans="1:9" ht="42" customHeight="1">
      <c r="A7" s="169"/>
      <c r="B7" s="169"/>
      <c r="C7" s="169"/>
      <c r="D7" s="169"/>
      <c r="E7" s="169"/>
      <c r="F7" s="169"/>
      <c r="G7" s="169"/>
      <c r="H7" s="169"/>
      <c r="I7" s="169"/>
    </row>
    <row r="8" spans="1:9" ht="57.75" customHeight="1">
      <c r="A8" s="169"/>
      <c r="B8" s="169"/>
      <c r="C8" s="169"/>
      <c r="D8" s="169"/>
      <c r="E8" s="169"/>
      <c r="F8" s="169"/>
      <c r="G8" s="169"/>
      <c r="H8" s="169"/>
      <c r="I8" s="169"/>
    </row>
    <row r="9" spans="1:9" ht="57.75" customHeight="1">
      <c r="A9" s="169"/>
      <c r="B9" s="169"/>
      <c r="C9" s="169"/>
      <c r="D9" s="169"/>
      <c r="E9" s="169"/>
      <c r="F9" s="169"/>
      <c r="G9" s="169"/>
      <c r="H9" s="169"/>
      <c r="I9" s="169"/>
    </row>
    <row r="10" spans="1:9" ht="40.5" customHeight="1">
      <c r="A10" s="169"/>
      <c r="B10" s="169"/>
      <c r="C10" s="169"/>
      <c r="D10" s="169"/>
      <c r="E10" s="169"/>
      <c r="F10" s="169"/>
      <c r="G10" s="169"/>
      <c r="H10" s="169"/>
      <c r="I10" s="169"/>
    </row>
    <row r="11" spans="1:9" ht="40.5" customHeight="1">
      <c r="A11" s="169"/>
      <c r="B11" s="169"/>
      <c r="C11" s="169"/>
      <c r="D11" s="169"/>
      <c r="E11" s="169"/>
      <c r="F11" s="169"/>
      <c r="G11" s="169"/>
      <c r="H11" s="169"/>
      <c r="I11" s="169"/>
    </row>
    <row r="12" spans="1:9" ht="40.5" customHeight="1">
      <c r="A12" s="169"/>
      <c r="B12" s="169"/>
      <c r="C12" s="169"/>
      <c r="D12" s="169"/>
      <c r="E12" s="169"/>
      <c r="F12" s="169"/>
      <c r="G12" s="169"/>
      <c r="H12" s="169"/>
      <c r="I12" s="169"/>
    </row>
    <row r="13" spans="1:9" ht="40.5" customHeight="1">
      <c r="A13" s="169"/>
      <c r="B13" s="169"/>
      <c r="C13" s="214" t="s">
        <v>92</v>
      </c>
      <c r="D13" s="344" t="s">
        <v>79</v>
      </c>
      <c r="E13" s="344"/>
      <c r="F13" s="344"/>
      <c r="G13" s="344"/>
      <c r="H13" s="344"/>
      <c r="I13" s="169"/>
    </row>
    <row r="14" spans="1:9" ht="34.5" customHeight="1">
      <c r="A14" s="169"/>
      <c r="B14" s="169"/>
      <c r="C14" s="169"/>
      <c r="D14" s="169"/>
      <c r="E14" s="169"/>
      <c r="F14" s="169"/>
      <c r="G14" s="169"/>
      <c r="H14" s="169"/>
      <c r="I14" s="169"/>
    </row>
    <row r="15" spans="1:9" ht="19.5" customHeight="1">
      <c r="A15" s="169"/>
      <c r="B15" s="169"/>
      <c r="C15" s="169"/>
      <c r="D15" s="169"/>
      <c r="E15" s="169"/>
      <c r="F15" s="169"/>
      <c r="G15" s="169"/>
      <c r="H15" s="169"/>
      <c r="I15" s="169"/>
    </row>
    <row r="16" spans="1:9" ht="19.5" customHeight="1">
      <c r="A16" s="171"/>
      <c r="B16" s="145"/>
      <c r="C16" s="169"/>
      <c r="D16" s="169"/>
      <c r="E16" s="169"/>
      <c r="F16" s="169"/>
      <c r="G16" s="169"/>
      <c r="H16" s="169"/>
      <c r="I16" s="145"/>
    </row>
    <row r="17" spans="1:9" ht="19.5" customHeight="1">
      <c r="A17" s="171"/>
      <c r="B17" s="145"/>
      <c r="C17" s="169"/>
      <c r="D17" s="169"/>
      <c r="E17" s="169"/>
      <c r="F17" s="169"/>
      <c r="G17" s="169"/>
      <c r="H17" s="169"/>
      <c r="I17" s="145"/>
    </row>
  </sheetData>
  <sheetProtection/>
  <mergeCells count="4">
    <mergeCell ref="A2:I2"/>
    <mergeCell ref="A4:I4"/>
    <mergeCell ref="D13:H13"/>
    <mergeCell ref="A5:I5"/>
  </mergeCells>
  <printOptions/>
  <pageMargins left="0.9055118110236221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O35"/>
  <sheetViews>
    <sheetView zoomScale="80" zoomScaleNormal="80" zoomScalePageLayoutView="0" workbookViewId="0" topLeftCell="A16">
      <selection activeCell="B2" sqref="B2:H22"/>
    </sheetView>
  </sheetViews>
  <sheetFormatPr defaultColWidth="8.88671875" defaultRowHeight="13.5"/>
  <cols>
    <col min="1" max="1" width="3.21484375" style="0" customWidth="1"/>
    <col min="2" max="2" width="5.99609375" style="0" customWidth="1"/>
    <col min="3" max="3" width="16.77734375" style="0" customWidth="1"/>
    <col min="4" max="4" width="20.88671875" style="0" customWidth="1"/>
    <col min="5" max="5" width="15.3359375" style="0" customWidth="1"/>
    <col min="6" max="6" width="18.88671875" style="0" customWidth="1"/>
    <col min="7" max="7" width="14.99609375" style="0" customWidth="1"/>
    <col min="8" max="8" width="18.21484375" style="0" customWidth="1"/>
    <col min="9" max="9" width="2.77734375" style="0" customWidth="1"/>
    <col min="10" max="10" width="16.99609375" style="0" customWidth="1"/>
    <col min="11" max="11" width="12.10546875" style="0" customWidth="1"/>
    <col min="13" max="13" width="16.5546875" style="0" bestFit="1" customWidth="1"/>
    <col min="14" max="14" width="13.77734375" style="0" bestFit="1" customWidth="1"/>
    <col min="15" max="15" width="18.99609375" style="0" customWidth="1"/>
  </cols>
  <sheetData>
    <row r="1" ht="24.75" customHeight="1"/>
    <row r="2" spans="1:10" ht="35.25" customHeight="1">
      <c r="A2" s="114"/>
      <c r="B2" s="353" t="s">
        <v>166</v>
      </c>
      <c r="C2" s="353"/>
      <c r="D2" s="353"/>
      <c r="E2" s="353"/>
      <c r="F2" s="353"/>
      <c r="G2" s="353"/>
      <c r="H2" s="353"/>
      <c r="I2" s="114"/>
      <c r="J2" s="31"/>
    </row>
    <row r="3" spans="2:10" ht="24.75" customHeight="1">
      <c r="B3" s="153"/>
      <c r="C3" s="150"/>
      <c r="D3" s="150"/>
      <c r="E3" s="150"/>
      <c r="F3" s="150"/>
      <c r="G3" s="150"/>
      <c r="H3" s="150"/>
      <c r="I3" s="71"/>
      <c r="J3" s="31"/>
    </row>
    <row r="4" spans="2:9" ht="30" customHeight="1" thickBot="1">
      <c r="B4" s="154" t="s">
        <v>29</v>
      </c>
      <c r="C4" s="151"/>
      <c r="D4" s="151"/>
      <c r="E4" s="151"/>
      <c r="F4" s="151"/>
      <c r="G4" s="151"/>
      <c r="H4" s="152" t="s">
        <v>27</v>
      </c>
      <c r="I4" s="72"/>
    </row>
    <row r="5" spans="2:11" ht="39.75" customHeight="1">
      <c r="B5" s="346" t="s">
        <v>31</v>
      </c>
      <c r="C5" s="347"/>
      <c r="D5" s="354" t="s">
        <v>167</v>
      </c>
      <c r="E5" s="355"/>
      <c r="F5" s="356" t="s">
        <v>168</v>
      </c>
      <c r="G5" s="357"/>
      <c r="H5" s="140" t="s">
        <v>69</v>
      </c>
      <c r="I5" s="79"/>
      <c r="J5" s="31"/>
      <c r="K5" s="51"/>
    </row>
    <row r="6" spans="2:11" ht="30" customHeight="1" thickBot="1">
      <c r="B6" s="348"/>
      <c r="C6" s="349"/>
      <c r="D6" s="271"/>
      <c r="E6" s="272" t="s">
        <v>70</v>
      </c>
      <c r="F6" s="273"/>
      <c r="G6" s="207" t="s">
        <v>70</v>
      </c>
      <c r="H6" s="130"/>
      <c r="I6" s="79"/>
      <c r="K6" s="51"/>
    </row>
    <row r="7" spans="2:15" ht="46.5" customHeight="1" thickBot="1">
      <c r="B7" s="352" t="s">
        <v>32</v>
      </c>
      <c r="C7" s="208" t="s">
        <v>63</v>
      </c>
      <c r="D7" s="294">
        <f>D8+D9+D10+D11+D12+D13+D14</f>
        <v>1666088979</v>
      </c>
      <c r="E7" s="295">
        <v>1</v>
      </c>
      <c r="F7" s="296">
        <f>세입결산!F6</f>
        <v>1666861969</v>
      </c>
      <c r="G7" s="209">
        <v>1</v>
      </c>
      <c r="H7" s="279">
        <f>F7-D7</f>
        <v>772990</v>
      </c>
      <c r="I7" s="80"/>
      <c r="J7" s="53"/>
      <c r="K7" s="76"/>
      <c r="N7" s="31">
        <f>F7-F15</f>
        <v>0</v>
      </c>
      <c r="O7" s="31">
        <f>F7-D7</f>
        <v>772990</v>
      </c>
    </row>
    <row r="8" spans="2:15" ht="42.75" customHeight="1">
      <c r="B8" s="350"/>
      <c r="C8" s="210" t="s">
        <v>96</v>
      </c>
      <c r="D8" s="211">
        <v>77640000</v>
      </c>
      <c r="E8" s="212">
        <f>D8/D7</f>
        <v>0.04660015219991441</v>
      </c>
      <c r="F8" s="213">
        <f>세입결산!F7</f>
        <v>77379440</v>
      </c>
      <c r="G8" s="212">
        <f>F8/F7</f>
        <v>0.046422224178779614</v>
      </c>
      <c r="H8" s="326">
        <f aca="true" t="shared" si="0" ref="H8:H22">F8-D8</f>
        <v>-260560</v>
      </c>
      <c r="I8" s="80"/>
      <c r="J8" s="31">
        <f>G8-E8</f>
        <v>-0.0001779280211347961</v>
      </c>
      <c r="K8" s="51">
        <f>D8/D7</f>
        <v>0.04660015219991441</v>
      </c>
      <c r="L8" s="51"/>
      <c r="M8" s="51">
        <f>F8/F7</f>
        <v>0.046422224178779614</v>
      </c>
      <c r="O8" s="31">
        <f aca="true" t="shared" si="1" ref="O8:O22">F8-D8</f>
        <v>-260560</v>
      </c>
    </row>
    <row r="9" spans="2:15" ht="42.75" customHeight="1">
      <c r="B9" s="350"/>
      <c r="C9" s="73" t="s">
        <v>45</v>
      </c>
      <c r="D9" s="180">
        <v>51020000</v>
      </c>
      <c r="E9" s="178">
        <f>D9/D7</f>
        <v>0.030622614183921086</v>
      </c>
      <c r="F9" s="177">
        <f>세입결산!F9</f>
        <v>51020000</v>
      </c>
      <c r="G9" s="176">
        <f>F9/F7</f>
        <v>0.03060841326328203</v>
      </c>
      <c r="H9" s="324">
        <f>F9-D9</f>
        <v>0</v>
      </c>
      <c r="I9" s="80"/>
      <c r="J9" s="31">
        <f>G9-E9</f>
        <v>-1.420092063905698E-05</v>
      </c>
      <c r="K9" s="51">
        <f>D9/D7</f>
        <v>0.030622614183921086</v>
      </c>
      <c r="L9" s="51"/>
      <c r="M9" s="51">
        <f>F9/F7</f>
        <v>0.03060841326328203</v>
      </c>
      <c r="N9" s="31">
        <f>F7-F15</f>
        <v>0</v>
      </c>
      <c r="O9" s="31">
        <f t="shared" si="1"/>
        <v>0</v>
      </c>
    </row>
    <row r="10" spans="2:15" ht="42.75" customHeight="1">
      <c r="B10" s="350"/>
      <c r="C10" s="74" t="s">
        <v>47</v>
      </c>
      <c r="D10" s="180">
        <v>5650008</v>
      </c>
      <c r="E10" s="178">
        <f>D10/D7</f>
        <v>0.0033911802257951314</v>
      </c>
      <c r="F10" s="179">
        <f>세입결산!F12</f>
        <v>6670008</v>
      </c>
      <c r="G10" s="178">
        <f>F10/F7</f>
        <v>0.004001535894421741</v>
      </c>
      <c r="H10" s="248">
        <f t="shared" si="0"/>
        <v>1020000</v>
      </c>
      <c r="I10" s="80"/>
      <c r="J10" s="31">
        <f>G10-E10</f>
        <v>0.0006103556686266097</v>
      </c>
      <c r="K10" s="51">
        <f>D10/D7</f>
        <v>0.0033911802257951314</v>
      </c>
      <c r="L10" s="51"/>
      <c r="M10" s="51">
        <f>F10/F7</f>
        <v>0.004001535894421741</v>
      </c>
      <c r="O10" s="31">
        <f t="shared" si="1"/>
        <v>1020000</v>
      </c>
    </row>
    <row r="11" spans="2:15" ht="42.75" customHeight="1">
      <c r="B11" s="350"/>
      <c r="C11" s="75" t="s">
        <v>95</v>
      </c>
      <c r="D11" s="180">
        <v>1146051250</v>
      </c>
      <c r="E11" s="178">
        <f>D11/D7</f>
        <v>0.6878691741229026</v>
      </c>
      <c r="F11" s="179">
        <f>세입결산!F15</f>
        <v>1146069250</v>
      </c>
      <c r="G11" s="178">
        <f>F11/F7</f>
        <v>0.687560980641703</v>
      </c>
      <c r="H11" s="248">
        <f t="shared" si="0"/>
        <v>18000</v>
      </c>
      <c r="I11" s="80"/>
      <c r="J11" s="31">
        <f>G11-E11</f>
        <v>-0.00030819348119959233</v>
      </c>
      <c r="K11" s="51">
        <f>D11/D7</f>
        <v>0.6878691741229026</v>
      </c>
      <c r="L11" s="51"/>
      <c r="M11" s="51">
        <f>F11/F7</f>
        <v>0.687560980641703</v>
      </c>
      <c r="O11" s="31">
        <f t="shared" si="1"/>
        <v>18000</v>
      </c>
    </row>
    <row r="12" spans="2:15" ht="42.75" customHeight="1">
      <c r="B12" s="350"/>
      <c r="C12" s="75" t="s">
        <v>56</v>
      </c>
      <c r="D12" s="180">
        <v>6000000</v>
      </c>
      <c r="E12" s="178">
        <f>D12/D7</f>
        <v>0.003601248238015024</v>
      </c>
      <c r="F12" s="181">
        <f>세입결산!F18</f>
        <v>6000000</v>
      </c>
      <c r="G12" s="182">
        <f>F12/F7</f>
        <v>0.0035995781963875377</v>
      </c>
      <c r="H12" s="324">
        <f t="shared" si="0"/>
        <v>0</v>
      </c>
      <c r="I12" s="80"/>
      <c r="J12" s="31">
        <f aca="true" t="shared" si="2" ref="J12:J22">G12-E12</f>
        <v>-1.6700416274862372E-06</v>
      </c>
      <c r="K12" s="51">
        <f>D12/D7</f>
        <v>0.003601248238015024</v>
      </c>
      <c r="L12" s="51"/>
      <c r="M12" s="51">
        <f>F12/F7</f>
        <v>0.0035995781963875377</v>
      </c>
      <c r="O12" s="31">
        <f t="shared" si="1"/>
        <v>0</v>
      </c>
    </row>
    <row r="13" spans="2:15" ht="42.75" customHeight="1">
      <c r="B13" s="350"/>
      <c r="C13" s="74" t="s">
        <v>46</v>
      </c>
      <c r="D13" s="180">
        <v>375959631</v>
      </c>
      <c r="E13" s="176">
        <f>D13/D7</f>
        <v>0.22565399311725476</v>
      </c>
      <c r="F13" s="179">
        <f>세입결산!F20</f>
        <v>375959631</v>
      </c>
      <c r="G13" s="178">
        <f>F13/F7</f>
        <v>0.22554934841158406</v>
      </c>
      <c r="H13" s="324">
        <f t="shared" si="0"/>
        <v>0</v>
      </c>
      <c r="I13" s="80"/>
      <c r="J13" s="31">
        <f t="shared" si="2"/>
        <v>-0.00010464470567070339</v>
      </c>
      <c r="K13" s="51">
        <f>D13/D7</f>
        <v>0.22565399311725476</v>
      </c>
      <c r="L13" s="51"/>
      <c r="M13" s="51">
        <f>F13/F7</f>
        <v>0.22554934841158406</v>
      </c>
      <c r="O13" s="31">
        <f t="shared" si="1"/>
        <v>0</v>
      </c>
    </row>
    <row r="14" spans="2:15" ht="42.75" customHeight="1" thickBot="1">
      <c r="B14" s="351"/>
      <c r="C14" s="144" t="s">
        <v>33</v>
      </c>
      <c r="D14" s="297">
        <v>3768090</v>
      </c>
      <c r="E14" s="298">
        <f>D14/D7</f>
        <v>0.0022616379121970054</v>
      </c>
      <c r="F14" s="189">
        <f>세입결산!F23</f>
        <v>3763640</v>
      </c>
      <c r="G14" s="188">
        <f>F14/F7</f>
        <v>0.002257919413841999</v>
      </c>
      <c r="H14" s="325">
        <f t="shared" si="0"/>
        <v>-4450</v>
      </c>
      <c r="I14" s="80"/>
      <c r="J14" s="31">
        <f t="shared" si="2"/>
        <v>-3.7184983550063444E-06</v>
      </c>
      <c r="K14" s="51">
        <f>D14/D7</f>
        <v>0.0022616379121970054</v>
      </c>
      <c r="L14" s="51"/>
      <c r="M14" s="51">
        <f>F14/F7</f>
        <v>0.002257919413841999</v>
      </c>
      <c r="O14" s="31">
        <f t="shared" si="1"/>
        <v>-4450</v>
      </c>
    </row>
    <row r="15" spans="2:15" ht="51.75" customHeight="1" thickBot="1">
      <c r="B15" s="350" t="s">
        <v>34</v>
      </c>
      <c r="C15" s="229" t="s">
        <v>63</v>
      </c>
      <c r="D15" s="230">
        <f>D16+D17+D18+D19+D20+D21+D22</f>
        <v>1666088979</v>
      </c>
      <c r="E15" s="231">
        <f>SUM(E16:E22)</f>
        <v>1</v>
      </c>
      <c r="F15" s="232">
        <f>세출결산!G7</f>
        <v>1666861969</v>
      </c>
      <c r="G15" s="231">
        <v>1</v>
      </c>
      <c r="H15" s="280">
        <f t="shared" si="0"/>
        <v>772990</v>
      </c>
      <c r="I15" s="80"/>
      <c r="J15" s="53">
        <f t="shared" si="2"/>
        <v>0</v>
      </c>
      <c r="K15" s="76">
        <f>SUM(K8:K14)</f>
        <v>1</v>
      </c>
      <c r="L15" s="76"/>
      <c r="M15" s="76">
        <f>SUM(M8:M14)</f>
        <v>1</v>
      </c>
      <c r="O15" s="31">
        <f t="shared" si="1"/>
        <v>772990</v>
      </c>
    </row>
    <row r="16" spans="2:15" ht="42" customHeight="1">
      <c r="B16" s="350"/>
      <c r="C16" s="73" t="s">
        <v>35</v>
      </c>
      <c r="D16" s="183">
        <v>1126832920</v>
      </c>
      <c r="E16" s="176">
        <f>D16/D15</f>
        <v>0.6763341779478874</v>
      </c>
      <c r="F16" s="177">
        <f>세출결산!G8</f>
        <v>1126806700</v>
      </c>
      <c r="G16" s="176">
        <f>F16/F15</f>
        <v>0.6760048048105656</v>
      </c>
      <c r="H16" s="326">
        <f t="shared" si="0"/>
        <v>-26220</v>
      </c>
      <c r="I16" s="80"/>
      <c r="J16" s="31">
        <f t="shared" si="2"/>
        <v>-0.00032937313732184226</v>
      </c>
      <c r="K16" s="51">
        <f>D16/D15</f>
        <v>0.6763341779478874</v>
      </c>
      <c r="M16" s="51">
        <f>F16/F15</f>
        <v>0.6760048048105656</v>
      </c>
      <c r="O16" s="31">
        <f t="shared" si="1"/>
        <v>-26220</v>
      </c>
    </row>
    <row r="17" spans="2:15" ht="42" customHeight="1">
      <c r="B17" s="350"/>
      <c r="C17" s="74" t="s">
        <v>36</v>
      </c>
      <c r="D17" s="184">
        <v>3658940</v>
      </c>
      <c r="E17" s="178">
        <f>D17/D15</f>
        <v>0.002196125204667115</v>
      </c>
      <c r="F17" s="179">
        <f>세출결산!G36</f>
        <v>3658940</v>
      </c>
      <c r="G17" s="178">
        <f>F17/F15</f>
        <v>0.002195106774315036</v>
      </c>
      <c r="H17" s="324">
        <f t="shared" si="0"/>
        <v>0</v>
      </c>
      <c r="I17" s="80"/>
      <c r="J17" s="31">
        <f t="shared" si="2"/>
        <v>-1.0184303520788252E-06</v>
      </c>
      <c r="K17" s="51">
        <f>D17/D15</f>
        <v>0.002196125204667115</v>
      </c>
      <c r="L17" s="51"/>
      <c r="M17" s="51">
        <f>F17/F15</f>
        <v>0.002195106774315036</v>
      </c>
      <c r="O17" s="31">
        <f t="shared" si="1"/>
        <v>0</v>
      </c>
    </row>
    <row r="18" spans="2:15" ht="42" customHeight="1">
      <c r="B18" s="350"/>
      <c r="C18" s="74" t="s">
        <v>94</v>
      </c>
      <c r="D18" s="184">
        <v>64396023</v>
      </c>
      <c r="E18" s="178">
        <f>D18/D15</f>
        <v>0.03865101072732082</v>
      </c>
      <c r="F18" s="179">
        <f>세출결산!G40</f>
        <v>64396023</v>
      </c>
      <c r="G18" s="178">
        <f>F18/F15</f>
        <v>0.038633086720811734</v>
      </c>
      <c r="H18" s="324">
        <f t="shared" si="0"/>
        <v>0</v>
      </c>
      <c r="I18" s="80"/>
      <c r="J18" s="31">
        <f t="shared" si="2"/>
        <v>-1.792400650908743E-05</v>
      </c>
      <c r="K18" s="51">
        <f>D18/D15</f>
        <v>0.03865101072732082</v>
      </c>
      <c r="L18" s="51"/>
      <c r="M18" s="51">
        <f>F18/F15</f>
        <v>0.038633086720811734</v>
      </c>
      <c r="O18" s="31">
        <f t="shared" si="1"/>
        <v>0</v>
      </c>
    </row>
    <row r="19" spans="2:15" ht="42" customHeight="1">
      <c r="B19" s="350"/>
      <c r="C19" s="74" t="s">
        <v>37</v>
      </c>
      <c r="D19" s="185">
        <v>77912859</v>
      </c>
      <c r="E19" s="186">
        <f>D19/D15</f>
        <v>0.0467639243654105</v>
      </c>
      <c r="F19" s="179">
        <f>세출결산!G55</f>
        <v>77912859</v>
      </c>
      <c r="G19" s="186">
        <f>F19/F15</f>
        <v>0.04674223807910276</v>
      </c>
      <c r="H19" s="324">
        <f t="shared" si="0"/>
        <v>0</v>
      </c>
      <c r="I19" s="80"/>
      <c r="J19" s="31">
        <f t="shared" si="2"/>
        <v>-2.168628630774133E-05</v>
      </c>
      <c r="K19" s="51">
        <f>D19/D15</f>
        <v>0.0467639243654105</v>
      </c>
      <c r="L19" s="51"/>
      <c r="M19" s="51">
        <f>F19/F15</f>
        <v>0.04674223807910276</v>
      </c>
      <c r="O19" s="31">
        <f t="shared" si="1"/>
        <v>0</v>
      </c>
    </row>
    <row r="20" spans="2:15" ht="42" customHeight="1">
      <c r="B20" s="350"/>
      <c r="C20" s="74" t="s">
        <v>38</v>
      </c>
      <c r="D20" s="184">
        <v>19078570</v>
      </c>
      <c r="E20" s="178">
        <f>D20/D15</f>
        <v>0.01145111109939105</v>
      </c>
      <c r="F20" s="179">
        <f>세출결산!G57</f>
        <v>19071870</v>
      </c>
      <c r="G20" s="178">
        <f>F20/F15</f>
        <v>0.011441781236056265</v>
      </c>
      <c r="H20" s="247">
        <f t="shared" si="0"/>
        <v>-6700</v>
      </c>
      <c r="I20" s="80"/>
      <c r="J20" s="31">
        <f t="shared" si="2"/>
        <v>-9.3298633347845E-06</v>
      </c>
      <c r="K20" s="51">
        <f>D20/D15</f>
        <v>0.01145111109939105</v>
      </c>
      <c r="L20" s="51"/>
      <c r="M20" s="51">
        <f>F20/F15</f>
        <v>0.011441781236056265</v>
      </c>
      <c r="O20" s="31">
        <f t="shared" si="1"/>
        <v>-6700</v>
      </c>
    </row>
    <row r="21" spans="2:15" ht="42" customHeight="1">
      <c r="B21" s="350"/>
      <c r="C21" s="74" t="s">
        <v>39</v>
      </c>
      <c r="D21" s="184">
        <v>3772600</v>
      </c>
      <c r="E21" s="178">
        <f>D21/D15</f>
        <v>0.0022643448504559133</v>
      </c>
      <c r="F21" s="179">
        <f>세출결산!G65</f>
        <v>3772600</v>
      </c>
      <c r="G21" s="178">
        <f>F21/F15</f>
        <v>0.0022632947839486043</v>
      </c>
      <c r="H21" s="324">
        <f t="shared" si="0"/>
        <v>0</v>
      </c>
      <c r="I21" s="80"/>
      <c r="J21" s="31">
        <f t="shared" si="2"/>
        <v>-1.0500665073090443E-06</v>
      </c>
      <c r="K21" s="51">
        <f>D21/D15</f>
        <v>0.0022643448504559133</v>
      </c>
      <c r="L21" s="51"/>
      <c r="M21" s="51">
        <f>F21/F15</f>
        <v>0.0022632947839486043</v>
      </c>
      <c r="O21" s="31">
        <f t="shared" si="1"/>
        <v>0</v>
      </c>
    </row>
    <row r="22" spans="2:15" ht="42" customHeight="1" thickBot="1">
      <c r="B22" s="351"/>
      <c r="C22" s="144" t="s">
        <v>40</v>
      </c>
      <c r="D22" s="187">
        <v>370437067</v>
      </c>
      <c r="E22" s="190">
        <f>D22/D15</f>
        <v>0.22233930580486722</v>
      </c>
      <c r="F22" s="189">
        <f>세출결산!G67</f>
        <v>371242977</v>
      </c>
      <c r="G22" s="190">
        <f>F22/F15</f>
        <v>0.22271968759520003</v>
      </c>
      <c r="H22" s="270">
        <f t="shared" si="0"/>
        <v>805910</v>
      </c>
      <c r="I22" s="80"/>
      <c r="J22" s="31">
        <f t="shared" si="2"/>
        <v>0.00038038179033281216</v>
      </c>
      <c r="K22" s="51">
        <f>D22/D15</f>
        <v>0.22233930580486722</v>
      </c>
      <c r="L22" s="51"/>
      <c r="M22" s="51">
        <f>F22/F15</f>
        <v>0.22271968759520003</v>
      </c>
      <c r="O22" s="31">
        <f t="shared" si="1"/>
        <v>805910</v>
      </c>
    </row>
    <row r="23" spans="7:13" ht="13.5">
      <c r="G23" s="31"/>
      <c r="K23" s="51">
        <f>SUM(K16:K22)</f>
        <v>1</v>
      </c>
      <c r="M23" s="51">
        <f>SUM(M16:M22)</f>
        <v>0.9999999999999999</v>
      </c>
    </row>
    <row r="24" ht="13.5">
      <c r="G24" s="31"/>
    </row>
    <row r="25" spans="3:9" ht="13.5">
      <c r="C25" s="51"/>
      <c r="D25" s="51"/>
      <c r="F25" s="31">
        <f>F7-F15</f>
        <v>0</v>
      </c>
      <c r="G25" s="50"/>
      <c r="H25" s="52"/>
      <c r="I25" s="52"/>
    </row>
    <row r="26" spans="3:7" ht="13.5">
      <c r="C26" s="51"/>
      <c r="D26" s="51"/>
      <c r="G26" s="31"/>
    </row>
    <row r="27" spans="3:8" ht="13.5">
      <c r="C27" s="51"/>
      <c r="D27" s="51"/>
      <c r="H27" s="31"/>
    </row>
    <row r="28" spans="3:10" ht="13.5">
      <c r="C28" s="51"/>
      <c r="D28" s="51"/>
      <c r="E28" s="31" t="s">
        <v>53</v>
      </c>
      <c r="F28" s="31">
        <f>F8+F9+F10+F11+F12+F13+F14</f>
        <v>1666861969</v>
      </c>
      <c r="G28" s="31">
        <f>G8+G9+G10+G11+G12+G14</f>
        <v>0.774450651588416</v>
      </c>
      <c r="H28" s="99"/>
      <c r="J28" s="31"/>
    </row>
    <row r="29" spans="5:10" ht="13.5">
      <c r="E29" s="31" t="s">
        <v>54</v>
      </c>
      <c r="F29" s="31">
        <f>F16+F17+F18+F19+F20+F21+F22</f>
        <v>1666861969</v>
      </c>
      <c r="G29" s="31">
        <f>G16+G17+G18+G19+G20+G21</f>
        <v>0.7772803124047999</v>
      </c>
      <c r="J29">
        <f>F22/F15*100</f>
        <v>22.271968759520004</v>
      </c>
    </row>
    <row r="30" spans="5:8" ht="13.5">
      <c r="E30" s="31"/>
      <c r="F30" s="31">
        <f>F28-F29</f>
        <v>0</v>
      </c>
      <c r="G30" s="31">
        <f>G28-G29</f>
        <v>-0.0028296608163839165</v>
      </c>
      <c r="H30" s="31"/>
    </row>
    <row r="32" ht="13.5">
      <c r="F32" s="99"/>
    </row>
    <row r="33" spans="5:6" ht="13.5">
      <c r="E33" t="s">
        <v>53</v>
      </c>
      <c r="F33" s="31"/>
    </row>
    <row r="34" spans="5:6" ht="13.5">
      <c r="E34" t="s">
        <v>112</v>
      </c>
      <c r="F34" s="31"/>
    </row>
    <row r="35" spans="5:6" ht="13.5">
      <c r="E35" t="s">
        <v>111</v>
      </c>
      <c r="F35" s="31"/>
    </row>
  </sheetData>
  <sheetProtection/>
  <mergeCells count="6">
    <mergeCell ref="B5:C6"/>
    <mergeCell ref="B15:B22"/>
    <mergeCell ref="B7:B14"/>
    <mergeCell ref="B2:H2"/>
    <mergeCell ref="D5:E5"/>
    <mergeCell ref="F5:G5"/>
  </mergeCells>
  <printOptions horizontalCentered="1" verticalCentered="1"/>
  <pageMargins left="0.4330708661417323" right="0.4330708661417323" top="0.7480314960629921" bottom="0.7480314960629921" header="0.31496062992125984" footer="0.31496062992125984"/>
  <pageSetup fitToHeight="1" fitToWidth="1" horizontalDpi="600" verticalDpi="600" orientation="portrait" paperSize="9" scale="40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</sheetPr>
  <dimension ref="B2:P105"/>
  <sheetViews>
    <sheetView zoomScale="90" zoomScaleNormal="90" zoomScalePageLayoutView="0" workbookViewId="0" topLeftCell="A18">
      <selection activeCell="B2" sqref="B2:H26"/>
    </sheetView>
  </sheetViews>
  <sheetFormatPr defaultColWidth="8.88671875" defaultRowHeight="13.5"/>
  <cols>
    <col min="1" max="1" width="1.2265625" style="0" customWidth="1"/>
    <col min="2" max="2" width="5.21484375" style="0" customWidth="1"/>
    <col min="3" max="3" width="5.5546875" style="0" customWidth="1"/>
    <col min="4" max="4" width="8.77734375" style="0" customWidth="1"/>
    <col min="5" max="6" width="12.77734375" style="57" customWidth="1"/>
    <col min="7" max="7" width="13.6640625" style="57" customWidth="1"/>
    <col min="8" max="8" width="27.5546875" style="0" customWidth="1"/>
    <col min="9" max="9" width="3.21484375" style="0" customWidth="1"/>
    <col min="10" max="10" width="13.3359375" style="57" bestFit="1" customWidth="1"/>
    <col min="11" max="11" width="11.5546875" style="0" bestFit="1" customWidth="1"/>
    <col min="12" max="12" width="13.6640625" style="0" customWidth="1"/>
    <col min="13" max="13" width="13.4453125" style="0" customWidth="1"/>
    <col min="14" max="14" width="14.5546875" style="0" customWidth="1"/>
    <col min="15" max="15" width="12.6640625" style="0" bestFit="1" customWidth="1"/>
    <col min="16" max="16" width="12.99609375" style="0" customWidth="1"/>
  </cols>
  <sheetData>
    <row r="2" spans="2:9" ht="22.5" customHeight="1">
      <c r="B2" s="169" t="s">
        <v>44</v>
      </c>
      <c r="D2" s="22"/>
      <c r="E2" s="56"/>
      <c r="F2" s="56"/>
      <c r="G2" s="56"/>
      <c r="H2" s="22"/>
      <c r="I2" s="22"/>
    </row>
    <row r="3" spans="4:9" ht="19.5" customHeight="1" thickBot="1">
      <c r="D3" s="38"/>
      <c r="E3" s="59"/>
      <c r="F3" s="56"/>
      <c r="G3" s="56"/>
      <c r="H3" s="39" t="s">
        <v>5</v>
      </c>
      <c r="I3" s="46"/>
    </row>
    <row r="4" spans="2:15" ht="20.25" customHeight="1">
      <c r="B4" s="366" t="s">
        <v>60</v>
      </c>
      <c r="C4" s="367"/>
      <c r="D4" s="368"/>
      <c r="E4" s="360" t="s">
        <v>170</v>
      </c>
      <c r="F4" s="360" t="s">
        <v>171</v>
      </c>
      <c r="G4" s="364" t="s">
        <v>2</v>
      </c>
      <c r="H4" s="362" t="s">
        <v>7</v>
      </c>
      <c r="I4" s="83"/>
      <c r="M4" s="262">
        <v>2023</v>
      </c>
      <c r="N4" s="262">
        <v>2023</v>
      </c>
      <c r="O4" s="262"/>
    </row>
    <row r="5" spans="2:15" ht="21" customHeight="1" thickBot="1">
      <c r="B5" s="13" t="s">
        <v>8</v>
      </c>
      <c r="C5" s="13" t="s">
        <v>9</v>
      </c>
      <c r="D5" s="14" t="s">
        <v>10</v>
      </c>
      <c r="E5" s="361"/>
      <c r="F5" s="361"/>
      <c r="G5" s="365"/>
      <c r="H5" s="363"/>
      <c r="I5" s="83"/>
      <c r="M5" s="262" t="s">
        <v>110</v>
      </c>
      <c r="N5" s="262" t="s">
        <v>110</v>
      </c>
      <c r="O5" s="262" t="s">
        <v>111</v>
      </c>
    </row>
    <row r="6" spans="2:15" ht="60" customHeight="1" thickBot="1">
      <c r="B6" s="130"/>
      <c r="C6" s="130"/>
      <c r="D6" s="132" t="s">
        <v>63</v>
      </c>
      <c r="E6" s="174">
        <f>E7+E9+E12+E15+E18+E20+E23</f>
        <v>1666088979</v>
      </c>
      <c r="F6" s="175">
        <f>F7+F9+F12+F15+F18+F20+F3+F23</f>
        <v>1666861969</v>
      </c>
      <c r="G6" s="278">
        <f aca="true" t="shared" si="0" ref="G6:G11">F6-E6</f>
        <v>772990</v>
      </c>
      <c r="H6" s="131"/>
      <c r="I6" s="83"/>
      <c r="J6" s="57">
        <f>F6-E6</f>
        <v>772990</v>
      </c>
      <c r="M6" s="263"/>
      <c r="N6" s="263"/>
      <c r="O6" s="263"/>
    </row>
    <row r="7" spans="2:15" ht="49.5" customHeight="1" thickBot="1">
      <c r="B7" s="358" t="s">
        <v>61</v>
      </c>
      <c r="C7" s="358" t="s">
        <v>88</v>
      </c>
      <c r="D7" s="138" t="s">
        <v>64</v>
      </c>
      <c r="E7" s="142">
        <f>E8</f>
        <v>77640000</v>
      </c>
      <c r="F7" s="233">
        <f>F8</f>
        <v>77379440</v>
      </c>
      <c r="G7" s="331">
        <f t="shared" si="0"/>
        <v>-260560</v>
      </c>
      <c r="H7" s="124"/>
      <c r="I7" s="84"/>
      <c r="J7" s="57">
        <f aca="true" t="shared" si="1" ref="J7:J26">F7-E7</f>
        <v>-260560</v>
      </c>
      <c r="K7" s="99"/>
      <c r="M7" s="99"/>
      <c r="N7" s="31"/>
      <c r="O7" s="31"/>
    </row>
    <row r="8" spans="2:15" ht="71.25" customHeight="1" thickBot="1">
      <c r="B8" s="359"/>
      <c r="C8" s="359"/>
      <c r="D8" s="116" t="s">
        <v>65</v>
      </c>
      <c r="E8" s="234">
        <v>77640000</v>
      </c>
      <c r="F8" s="234">
        <f>72429110+4950330</f>
        <v>77379440</v>
      </c>
      <c r="G8" s="332">
        <f t="shared" si="0"/>
        <v>-260560</v>
      </c>
      <c r="H8" s="111" t="s">
        <v>181</v>
      </c>
      <c r="I8" s="84"/>
      <c r="J8" s="57">
        <f t="shared" si="1"/>
        <v>-260560</v>
      </c>
      <c r="K8" s="99"/>
      <c r="M8" s="99"/>
      <c r="N8" s="31"/>
      <c r="O8" s="31"/>
    </row>
    <row r="9" spans="2:15" s="1" customFormat="1" ht="49.5" customHeight="1" thickBot="1">
      <c r="B9" s="54" t="s">
        <v>59</v>
      </c>
      <c r="C9" s="54" t="s">
        <v>59</v>
      </c>
      <c r="D9" s="138" t="s">
        <v>64</v>
      </c>
      <c r="E9" s="149">
        <f>E10+E11</f>
        <v>51020000</v>
      </c>
      <c r="F9" s="149">
        <f>F10+F11</f>
        <v>51020000</v>
      </c>
      <c r="G9" s="306">
        <f t="shared" si="0"/>
        <v>0</v>
      </c>
      <c r="H9" s="193"/>
      <c r="I9" s="85"/>
      <c r="J9" s="57">
        <f t="shared" si="1"/>
        <v>0</v>
      </c>
      <c r="K9" s="49"/>
      <c r="N9" s="127"/>
      <c r="O9" s="261"/>
    </row>
    <row r="10" spans="2:11" s="1" customFormat="1" ht="42" customHeight="1">
      <c r="B10" s="20"/>
      <c r="C10" s="20"/>
      <c r="D10" s="20" t="s">
        <v>90</v>
      </c>
      <c r="E10" s="235">
        <f>20000000</f>
        <v>20000000</v>
      </c>
      <c r="F10" s="235">
        <f>20000000</f>
        <v>20000000</v>
      </c>
      <c r="G10" s="264">
        <f t="shared" si="0"/>
        <v>0</v>
      </c>
      <c r="H10" s="267" t="s">
        <v>114</v>
      </c>
      <c r="I10" s="85"/>
      <c r="J10" s="57">
        <f t="shared" si="1"/>
        <v>0</v>
      </c>
      <c r="K10" s="49"/>
    </row>
    <row r="11" spans="2:11" s="1" customFormat="1" ht="228.75" customHeight="1" thickBot="1">
      <c r="B11" s="20"/>
      <c r="C11" s="20"/>
      <c r="D11" s="113" t="s">
        <v>78</v>
      </c>
      <c r="E11" s="241">
        <v>31020000</v>
      </c>
      <c r="F11" s="241">
        <v>31020000</v>
      </c>
      <c r="G11" s="312">
        <f t="shared" si="0"/>
        <v>0</v>
      </c>
      <c r="H11" s="242" t="s">
        <v>115</v>
      </c>
      <c r="I11" s="85"/>
      <c r="J11" s="57">
        <f t="shared" si="1"/>
        <v>0</v>
      </c>
      <c r="K11" s="49"/>
    </row>
    <row r="12" spans="2:10" s="6" customFormat="1" ht="41.25" customHeight="1" thickBot="1">
      <c r="B12" s="54" t="s">
        <v>41</v>
      </c>
      <c r="C12" s="54" t="s">
        <v>3</v>
      </c>
      <c r="D12" s="138" t="s">
        <v>64</v>
      </c>
      <c r="E12" s="142">
        <f>E13+E14</f>
        <v>5650008</v>
      </c>
      <c r="F12" s="142">
        <f>F13+F14</f>
        <v>6670008</v>
      </c>
      <c r="G12" s="311">
        <f aca="true" t="shared" si="2" ref="G12:G19">F12-E12</f>
        <v>1020000</v>
      </c>
      <c r="H12" s="123"/>
      <c r="I12" s="84"/>
      <c r="J12" s="57">
        <f t="shared" si="1"/>
        <v>1020000</v>
      </c>
    </row>
    <row r="13" spans="2:10" s="6" customFormat="1" ht="65.25" customHeight="1">
      <c r="B13" s="20"/>
      <c r="C13" s="205"/>
      <c r="D13" s="64" t="s">
        <v>30</v>
      </c>
      <c r="E13" s="60">
        <v>4500008</v>
      </c>
      <c r="F13" s="60">
        <f>5520008</f>
        <v>5520008</v>
      </c>
      <c r="G13" s="276">
        <f t="shared" si="2"/>
        <v>1020000</v>
      </c>
      <c r="H13" s="101" t="s">
        <v>173</v>
      </c>
      <c r="I13" s="84"/>
      <c r="J13" s="57">
        <f t="shared" si="1"/>
        <v>1020000</v>
      </c>
    </row>
    <row r="14" spans="2:10" s="6" customFormat="1" ht="38.25" customHeight="1" thickBot="1">
      <c r="B14" s="128"/>
      <c r="C14" s="206"/>
      <c r="D14" s="128" t="s">
        <v>43</v>
      </c>
      <c r="E14" s="165">
        <v>1150000</v>
      </c>
      <c r="F14" s="165">
        <v>1150000</v>
      </c>
      <c r="G14" s="310">
        <f t="shared" si="2"/>
        <v>0</v>
      </c>
      <c r="H14" s="93" t="s">
        <v>132</v>
      </c>
      <c r="I14" s="84"/>
      <c r="J14" s="57">
        <f>F14-E14</f>
        <v>0</v>
      </c>
    </row>
    <row r="15" spans="2:10" s="6" customFormat="1" ht="49.5" customHeight="1" thickBot="1">
      <c r="B15" s="54" t="s">
        <v>87</v>
      </c>
      <c r="C15" s="204" t="s">
        <v>87</v>
      </c>
      <c r="D15" s="136" t="s">
        <v>64</v>
      </c>
      <c r="E15" s="142">
        <f>E16+E17</f>
        <v>1146051250</v>
      </c>
      <c r="F15" s="142">
        <f>F16+F17</f>
        <v>1146069250</v>
      </c>
      <c r="G15" s="266">
        <f t="shared" si="2"/>
        <v>18000</v>
      </c>
      <c r="H15" s="123"/>
      <c r="I15" s="84"/>
      <c r="J15" s="57">
        <f t="shared" si="1"/>
        <v>18000</v>
      </c>
    </row>
    <row r="16" spans="2:16" s="6" customFormat="1" ht="46.5" customHeight="1">
      <c r="B16" s="20"/>
      <c r="C16" s="205"/>
      <c r="D16" s="54" t="s">
        <v>89</v>
      </c>
      <c r="E16" s="216">
        <f>886241710+153572290+18580000</f>
        <v>1058394000</v>
      </c>
      <c r="F16" s="216">
        <f>886241710+153572290+18580000</f>
        <v>1058394000</v>
      </c>
      <c r="G16" s="305">
        <f t="shared" si="2"/>
        <v>0</v>
      </c>
      <c r="H16" s="217" t="s">
        <v>157</v>
      </c>
      <c r="I16" s="86"/>
      <c r="J16" s="57">
        <f t="shared" si="1"/>
        <v>0</v>
      </c>
      <c r="K16" s="96"/>
      <c r="L16" s="43"/>
      <c r="M16" s="96"/>
      <c r="N16" s="96"/>
      <c r="O16" s="96"/>
      <c r="P16" s="43"/>
    </row>
    <row r="17" spans="2:16" s="6" customFormat="1" ht="60" customHeight="1" thickBot="1">
      <c r="B17" s="128"/>
      <c r="C17" s="128"/>
      <c r="D17" s="147" t="s">
        <v>76</v>
      </c>
      <c r="E17" s="148">
        <v>87657250</v>
      </c>
      <c r="F17" s="148">
        <f>74781410+12893840</f>
        <v>87675250</v>
      </c>
      <c r="G17" s="275">
        <f t="shared" si="2"/>
        <v>18000</v>
      </c>
      <c r="H17" s="98" t="s">
        <v>169</v>
      </c>
      <c r="I17" s="86"/>
      <c r="J17" s="57">
        <f t="shared" si="1"/>
        <v>18000</v>
      </c>
      <c r="K17" s="96"/>
      <c r="L17" s="43"/>
      <c r="M17" s="96"/>
      <c r="N17" s="96"/>
      <c r="O17" s="96"/>
      <c r="P17" s="43"/>
    </row>
    <row r="18" spans="2:16" s="6" customFormat="1" ht="49.5" customHeight="1" thickBot="1">
      <c r="B18" s="54" t="s">
        <v>51</v>
      </c>
      <c r="C18" s="54" t="s">
        <v>52</v>
      </c>
      <c r="D18" s="133" t="s">
        <v>64</v>
      </c>
      <c r="E18" s="141">
        <f>E19</f>
        <v>6000000</v>
      </c>
      <c r="F18" s="141">
        <f>F19</f>
        <v>6000000</v>
      </c>
      <c r="G18" s="309">
        <f t="shared" si="2"/>
        <v>0</v>
      </c>
      <c r="H18" s="109" t="s">
        <v>66</v>
      </c>
      <c r="I18" s="84"/>
      <c r="J18" s="57">
        <f t="shared" si="1"/>
        <v>0</v>
      </c>
      <c r="K18" s="48"/>
      <c r="L18" s="48"/>
      <c r="M18" s="48"/>
      <c r="N18" s="48"/>
      <c r="O18" s="48"/>
      <c r="P18" s="48"/>
    </row>
    <row r="19" spans="2:16" s="6" customFormat="1" ht="42" customHeight="1" thickBot="1">
      <c r="B19" s="128"/>
      <c r="C19" s="128"/>
      <c r="D19" s="135" t="s">
        <v>113</v>
      </c>
      <c r="E19" s="134">
        <v>6000000</v>
      </c>
      <c r="F19" s="134">
        <v>6000000</v>
      </c>
      <c r="G19" s="305">
        <f t="shared" si="2"/>
        <v>0</v>
      </c>
      <c r="H19" s="124" t="s">
        <v>136</v>
      </c>
      <c r="I19" s="84"/>
      <c r="J19" s="57">
        <f t="shared" si="1"/>
        <v>0</v>
      </c>
      <c r="K19" s="48"/>
      <c r="L19" s="48"/>
      <c r="N19" s="48"/>
      <c r="O19" s="48"/>
      <c r="P19" s="48"/>
    </row>
    <row r="20" spans="2:14" s="6" customFormat="1" ht="49.5" customHeight="1" thickBot="1">
      <c r="B20" s="34" t="s">
        <v>4</v>
      </c>
      <c r="C20" s="34" t="s">
        <v>4</v>
      </c>
      <c r="D20" s="138" t="s">
        <v>64</v>
      </c>
      <c r="E20" s="142">
        <f>E21+E22</f>
        <v>375959631</v>
      </c>
      <c r="F20" s="142">
        <f>F21+F22</f>
        <v>375959631</v>
      </c>
      <c r="G20" s="306">
        <f aca="true" t="shared" si="3" ref="G20:G25">F20-E20</f>
        <v>0</v>
      </c>
      <c r="H20" s="124" t="s">
        <v>66</v>
      </c>
      <c r="I20" s="84"/>
      <c r="J20" s="57">
        <f t="shared" si="1"/>
        <v>0</v>
      </c>
      <c r="K20" s="48"/>
      <c r="M20" s="96"/>
      <c r="N20" s="96"/>
    </row>
    <row r="21" spans="2:10" s="6" customFormat="1" ht="47.25" customHeight="1">
      <c r="B21" s="15"/>
      <c r="C21" s="15"/>
      <c r="D21" s="137" t="s">
        <v>67</v>
      </c>
      <c r="E21" s="146">
        <v>374584254</v>
      </c>
      <c r="F21" s="146">
        <v>374584254</v>
      </c>
      <c r="G21" s="304">
        <f>F21-E21</f>
        <v>0</v>
      </c>
      <c r="H21" s="107"/>
      <c r="I21" s="84"/>
      <c r="J21" s="57">
        <f t="shared" si="1"/>
        <v>0</v>
      </c>
    </row>
    <row r="22" spans="2:15" s="6" customFormat="1" ht="45.75" customHeight="1" thickBot="1">
      <c r="B22" s="15"/>
      <c r="C22" s="15"/>
      <c r="D22" s="129" t="s">
        <v>68</v>
      </c>
      <c r="E22" s="143">
        <v>1375377</v>
      </c>
      <c r="F22" s="143">
        <v>1375377</v>
      </c>
      <c r="G22" s="307">
        <f>F22-E22</f>
        <v>0</v>
      </c>
      <c r="H22" s="139"/>
      <c r="I22" s="84"/>
      <c r="J22" s="57">
        <f t="shared" si="1"/>
        <v>0</v>
      </c>
      <c r="O22" s="96"/>
    </row>
    <row r="23" spans="2:15" s="6" customFormat="1" ht="49.5" customHeight="1" thickBot="1">
      <c r="B23" s="34" t="s">
        <v>12</v>
      </c>
      <c r="C23" s="34" t="s">
        <v>12</v>
      </c>
      <c r="D23" s="138" t="s">
        <v>64</v>
      </c>
      <c r="E23" s="142">
        <f>E24+E25+E26</f>
        <v>3768090</v>
      </c>
      <c r="F23" s="142">
        <f>F24+F25+F26</f>
        <v>3763640</v>
      </c>
      <c r="G23" s="308">
        <f t="shared" si="3"/>
        <v>-4450</v>
      </c>
      <c r="H23" s="124" t="s">
        <v>66</v>
      </c>
      <c r="I23" s="84"/>
      <c r="J23" s="57">
        <f t="shared" si="1"/>
        <v>-4450</v>
      </c>
      <c r="K23" s="43"/>
      <c r="O23" s="96"/>
    </row>
    <row r="24" spans="2:15" s="6" customFormat="1" ht="49.5" customHeight="1">
      <c r="B24" s="15"/>
      <c r="C24" s="15"/>
      <c r="D24" s="37" t="s">
        <v>120</v>
      </c>
      <c r="E24" s="215">
        <v>80000</v>
      </c>
      <c r="F24" s="215">
        <v>80000</v>
      </c>
      <c r="G24" s="304">
        <f t="shared" si="3"/>
        <v>0</v>
      </c>
      <c r="H24" s="268" t="s">
        <v>137</v>
      </c>
      <c r="I24" s="84"/>
      <c r="J24" s="57"/>
      <c r="K24" s="43"/>
      <c r="O24" s="96"/>
    </row>
    <row r="25" spans="2:15" s="6" customFormat="1" ht="42" customHeight="1">
      <c r="B25" s="15"/>
      <c r="C25" s="15"/>
      <c r="D25" s="16" t="s">
        <v>13</v>
      </c>
      <c r="E25" s="60">
        <f>2998965</f>
        <v>2998965</v>
      </c>
      <c r="F25" s="60">
        <f>2987294</f>
        <v>2987294</v>
      </c>
      <c r="G25" s="274">
        <f t="shared" si="3"/>
        <v>-11671</v>
      </c>
      <c r="H25" s="23" t="s">
        <v>175</v>
      </c>
      <c r="I25" s="84"/>
      <c r="J25" s="57">
        <f t="shared" si="1"/>
        <v>-11671</v>
      </c>
      <c r="K25" s="43"/>
      <c r="L25" s="301" t="s">
        <v>145</v>
      </c>
      <c r="M25" s="302"/>
      <c r="N25" s="303"/>
      <c r="O25" s="96"/>
    </row>
    <row r="26" spans="2:15" s="6" customFormat="1" ht="48.75" customHeight="1" thickBot="1">
      <c r="B26" s="100"/>
      <c r="C26" s="100"/>
      <c r="D26" s="147" t="s">
        <v>28</v>
      </c>
      <c r="E26" s="148">
        <v>689125</v>
      </c>
      <c r="F26" s="148">
        <f>196346+500000</f>
        <v>696346</v>
      </c>
      <c r="G26" s="333">
        <f>F26-E26</f>
        <v>7221</v>
      </c>
      <c r="H26" s="97" t="s">
        <v>174</v>
      </c>
      <c r="I26" s="87"/>
      <c r="J26" s="57">
        <f t="shared" si="1"/>
        <v>7221</v>
      </c>
      <c r="O26" s="43"/>
    </row>
    <row r="27" spans="2:9" ht="13.5">
      <c r="B27" s="293"/>
      <c r="C27" s="293"/>
      <c r="G27" s="61"/>
      <c r="H27" s="31"/>
      <c r="I27" s="31"/>
    </row>
    <row r="28" spans="6:7" ht="13.5">
      <c r="F28" s="58"/>
      <c r="G28" s="62"/>
    </row>
    <row r="29" spans="7:9" ht="13.5">
      <c r="G29" s="61"/>
      <c r="H29" s="31"/>
      <c r="I29" s="31"/>
    </row>
    <row r="30" ht="13.5">
      <c r="G30" s="62"/>
    </row>
    <row r="31" ht="13.5">
      <c r="G31" s="63"/>
    </row>
    <row r="32" ht="13.5">
      <c r="G32" s="61"/>
    </row>
    <row r="33" ht="13.5">
      <c r="G33" s="61"/>
    </row>
    <row r="34" spans="6:7" ht="13.5">
      <c r="F34" s="58"/>
      <c r="G34" s="61"/>
    </row>
    <row r="35" ht="13.5">
      <c r="G35" s="61"/>
    </row>
    <row r="36" ht="13.5">
      <c r="G36" s="61"/>
    </row>
    <row r="37" ht="13.5">
      <c r="G37" s="61"/>
    </row>
    <row r="38" ht="13.5">
      <c r="G38" s="61"/>
    </row>
    <row r="39" ht="13.5">
      <c r="G39" s="61"/>
    </row>
    <row r="40" ht="13.5">
      <c r="G40" s="61"/>
    </row>
    <row r="41" ht="13.5">
      <c r="G41" s="61"/>
    </row>
    <row r="42" ht="13.5">
      <c r="G42" s="61"/>
    </row>
    <row r="43" ht="13.5">
      <c r="G43" s="61"/>
    </row>
    <row r="44" ht="13.5">
      <c r="G44" s="61"/>
    </row>
    <row r="45" ht="13.5">
      <c r="G45" s="61"/>
    </row>
    <row r="46" ht="13.5">
      <c r="G46" s="61"/>
    </row>
    <row r="47" ht="13.5">
      <c r="G47" s="61"/>
    </row>
    <row r="48" ht="13.5">
      <c r="G48" s="61"/>
    </row>
    <row r="49" ht="13.5">
      <c r="G49" s="61"/>
    </row>
    <row r="50" ht="13.5">
      <c r="G50" s="61"/>
    </row>
    <row r="51" ht="13.5">
      <c r="G51" s="61"/>
    </row>
    <row r="52" ht="13.5">
      <c r="G52" s="61"/>
    </row>
    <row r="53" ht="13.5">
      <c r="G53" s="61"/>
    </row>
    <row r="54" ht="13.5">
      <c r="G54" s="61"/>
    </row>
    <row r="55" ht="13.5">
      <c r="G55" s="61"/>
    </row>
    <row r="56" ht="13.5">
      <c r="G56" s="61"/>
    </row>
    <row r="57" ht="13.5">
      <c r="G57" s="61"/>
    </row>
    <row r="58" ht="13.5">
      <c r="G58" s="61"/>
    </row>
    <row r="59" ht="13.5">
      <c r="G59" s="61"/>
    </row>
    <row r="105" ht="13.5">
      <c r="H105" t="s">
        <v>15</v>
      </c>
    </row>
  </sheetData>
  <sheetProtection/>
  <mergeCells count="7">
    <mergeCell ref="C7:C8"/>
    <mergeCell ref="E4:E5"/>
    <mergeCell ref="H4:H5"/>
    <mergeCell ref="G4:G5"/>
    <mergeCell ref="B4:D4"/>
    <mergeCell ref="B7:B8"/>
    <mergeCell ref="F4:F5"/>
  </mergeCells>
  <printOptions/>
  <pageMargins left="0" right="0" top="0.984251968503937" bottom="0.15748031496062992" header="0.31496062992125984" footer="0.31496062992125984"/>
  <pageSetup fitToWidth="0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U96"/>
  <sheetViews>
    <sheetView tabSelected="1" zoomScale="96" zoomScaleNormal="96" zoomScaleSheetLayoutView="100" zoomScalePageLayoutView="0" workbookViewId="0" topLeftCell="A61">
      <selection activeCell="I66" sqref="I66"/>
    </sheetView>
  </sheetViews>
  <sheetFormatPr defaultColWidth="8.88671875" defaultRowHeight="13.5"/>
  <cols>
    <col min="1" max="1" width="1.4375" style="0" customWidth="1"/>
    <col min="2" max="2" width="5.4453125" style="0" customWidth="1"/>
    <col min="3" max="3" width="5.6640625" style="0" customWidth="1"/>
    <col min="4" max="4" width="7.77734375" style="0" customWidth="1"/>
    <col min="5" max="5" width="12.5546875" style="0" hidden="1" customWidth="1"/>
    <col min="6" max="7" width="15.3359375" style="0" customWidth="1"/>
    <col min="8" max="8" width="14.3359375" style="0" customWidth="1"/>
    <col min="9" max="9" width="30.6640625" style="0" customWidth="1"/>
    <col min="10" max="10" width="20.77734375" style="66" customWidth="1"/>
    <col min="11" max="11" width="17.99609375" style="31" customWidth="1"/>
    <col min="12" max="12" width="12.6640625" style="0" bestFit="1" customWidth="1"/>
    <col min="13" max="13" width="33.4453125" style="0" customWidth="1"/>
    <col min="14" max="14" width="9.88671875" style="0" bestFit="1" customWidth="1"/>
    <col min="17" max="17" width="9.5546875" style="0" bestFit="1" customWidth="1"/>
  </cols>
  <sheetData>
    <row r="2" spans="2:4" ht="22.5" customHeight="1">
      <c r="B2" s="145" t="s">
        <v>48</v>
      </c>
      <c r="C2" s="172"/>
      <c r="D2" s="172"/>
    </row>
    <row r="3" spans="1:9" ht="17.25" customHeight="1">
      <c r="A3" t="s">
        <v>55</v>
      </c>
      <c r="B3" s="22"/>
      <c r="C3" s="22"/>
      <c r="D3" s="38"/>
      <c r="E3" s="22"/>
      <c r="F3" s="22"/>
      <c r="G3" s="22"/>
      <c r="H3" s="22"/>
      <c r="I3" s="46" t="s">
        <v>5</v>
      </c>
    </row>
    <row r="4" spans="2:9" ht="18.75" customHeight="1" thickBot="1">
      <c r="B4" s="22"/>
      <c r="C4" s="22"/>
      <c r="D4" s="38"/>
      <c r="E4" s="22"/>
      <c r="F4" s="22"/>
      <c r="G4" s="22"/>
      <c r="H4" s="22"/>
      <c r="I4" s="46"/>
    </row>
    <row r="5" spans="2:9" ht="16.5" customHeight="1" thickBot="1">
      <c r="B5" s="12"/>
      <c r="C5" s="9" t="s">
        <v>6</v>
      </c>
      <c r="D5" s="78"/>
      <c r="E5" s="360" t="s">
        <v>16</v>
      </c>
      <c r="F5" s="360" t="s">
        <v>170</v>
      </c>
      <c r="G5" s="360" t="s">
        <v>171</v>
      </c>
      <c r="H5" s="394" t="s">
        <v>2</v>
      </c>
      <c r="I5" s="362" t="s">
        <v>7</v>
      </c>
    </row>
    <row r="6" spans="2:9" ht="23.25" customHeight="1" thickBot="1">
      <c r="B6" s="25" t="s">
        <v>8</v>
      </c>
      <c r="C6" s="25" t="s">
        <v>9</v>
      </c>
      <c r="D6" s="26" t="s">
        <v>10</v>
      </c>
      <c r="E6" s="361"/>
      <c r="F6" s="361"/>
      <c r="G6" s="361"/>
      <c r="H6" s="395"/>
      <c r="I6" s="363"/>
    </row>
    <row r="7" spans="2:10" ht="36.75" customHeight="1" thickBot="1">
      <c r="B7" s="25"/>
      <c r="C7" s="25"/>
      <c r="D7" s="82" t="s">
        <v>14</v>
      </c>
      <c r="E7" s="33" t="e">
        <f>E8+E36+E40+E55+#REF!+E57+E65+E67</f>
        <v>#REF!</v>
      </c>
      <c r="F7" s="33">
        <f>F8+F36+F40+F55+F57+F65+F67</f>
        <v>1666088979</v>
      </c>
      <c r="G7" s="33">
        <f>G8+G36+G40+G55+G57+G65+G67</f>
        <v>1666861969</v>
      </c>
      <c r="H7" s="277">
        <f>G7-F7</f>
        <v>772990</v>
      </c>
      <c r="I7" s="121"/>
      <c r="J7" s="67"/>
    </row>
    <row r="8" spans="2:10" ht="32.25" customHeight="1" thickBot="1">
      <c r="B8" s="372" t="s">
        <v>80</v>
      </c>
      <c r="C8" s="372" t="s">
        <v>81</v>
      </c>
      <c r="D8" s="82" t="s">
        <v>11</v>
      </c>
      <c r="E8" s="27" t="e">
        <f>#REF!+#REF!+#REF!+#REF!+#REF!+#REF!+#REF!+#REF!</f>
        <v>#REF!</v>
      </c>
      <c r="F8" s="33">
        <f>F9+F16+F21+F25+F27</f>
        <v>1126832920</v>
      </c>
      <c r="G8" s="33">
        <f>G9+G16+G21+G25+G27</f>
        <v>1126806700</v>
      </c>
      <c r="H8" s="269">
        <f>G8-F8</f>
        <v>-26220</v>
      </c>
      <c r="I8" s="121"/>
      <c r="J8" s="67"/>
    </row>
    <row r="9" spans="2:14" ht="32.25" customHeight="1">
      <c r="B9" s="373"/>
      <c r="C9" s="373"/>
      <c r="D9" s="15" t="s">
        <v>82</v>
      </c>
      <c r="E9" s="77"/>
      <c r="F9" s="164">
        <v>905892590</v>
      </c>
      <c r="G9" s="164">
        <f>39664800+37730400+30897600+28328400+48000000+25800000+24360000+669804590+1282600</f>
        <v>905868390</v>
      </c>
      <c r="H9" s="313">
        <f>G9-F9</f>
        <v>-24200</v>
      </c>
      <c r="I9" s="11" t="s">
        <v>121</v>
      </c>
      <c r="J9" s="67"/>
      <c r="K9" s="103"/>
      <c r="L9" s="31"/>
      <c r="N9" s="31"/>
    </row>
    <row r="10" spans="2:11" ht="26.25" customHeight="1">
      <c r="B10" s="373"/>
      <c r="C10" s="373"/>
      <c r="D10" s="15"/>
      <c r="E10" s="77"/>
      <c r="F10" s="194"/>
      <c r="G10" s="195"/>
      <c r="H10" s="196"/>
      <c r="I10" s="11" t="s">
        <v>143</v>
      </c>
      <c r="J10" s="67"/>
      <c r="K10" s="103"/>
    </row>
    <row r="11" spans="2:15" s="1" customFormat="1" ht="35.25" customHeight="1">
      <c r="B11" s="373"/>
      <c r="C11" s="373"/>
      <c r="D11" s="15"/>
      <c r="E11" s="24"/>
      <c r="F11" s="32"/>
      <c r="G11" s="88"/>
      <c r="H11" s="191"/>
      <c r="I11" s="11" t="s">
        <v>122</v>
      </c>
      <c r="J11" s="68"/>
      <c r="K11" s="36"/>
      <c r="O11" s="127"/>
    </row>
    <row r="12" spans="2:15" s="1" customFormat="1" ht="30.75" customHeight="1">
      <c r="B12" s="373"/>
      <c r="C12" s="373"/>
      <c r="D12" s="15"/>
      <c r="E12" s="24"/>
      <c r="F12" s="32"/>
      <c r="G12" s="88"/>
      <c r="H12" s="191"/>
      <c r="I12" s="11" t="s">
        <v>123</v>
      </c>
      <c r="J12" s="68"/>
      <c r="K12" s="36"/>
      <c r="O12" s="127"/>
    </row>
    <row r="13" spans="2:11" s="1" customFormat="1" ht="40.5" customHeight="1">
      <c r="B13" s="373"/>
      <c r="C13" s="373"/>
      <c r="D13" s="15"/>
      <c r="E13" s="24"/>
      <c r="F13" s="32"/>
      <c r="G13" s="88"/>
      <c r="H13" s="191"/>
      <c r="I13" s="11" t="s">
        <v>124</v>
      </c>
      <c r="J13" s="68"/>
      <c r="K13" s="36"/>
    </row>
    <row r="14" spans="2:11" s="1" customFormat="1" ht="64.5" customHeight="1">
      <c r="B14" s="373"/>
      <c r="C14" s="373"/>
      <c r="D14" s="15"/>
      <c r="E14" s="24"/>
      <c r="F14" s="32"/>
      <c r="G14" s="88"/>
      <c r="H14" s="191"/>
      <c r="I14" s="198" t="s">
        <v>125</v>
      </c>
      <c r="J14" s="91"/>
      <c r="K14" s="36"/>
    </row>
    <row r="15" spans="2:11" s="1" customFormat="1" ht="73.5" customHeight="1">
      <c r="B15" s="373"/>
      <c r="C15" s="373"/>
      <c r="D15" s="15"/>
      <c r="E15" s="24"/>
      <c r="F15" s="32"/>
      <c r="G15" s="88"/>
      <c r="H15" s="191"/>
      <c r="I15" s="198" t="s">
        <v>176</v>
      </c>
      <c r="J15" s="91"/>
      <c r="K15" s="36"/>
    </row>
    <row r="16" spans="2:13" s="1" customFormat="1" ht="26.25" customHeight="1">
      <c r="B16" s="373"/>
      <c r="C16" s="373"/>
      <c r="D16" s="113" t="s">
        <v>74</v>
      </c>
      <c r="E16" s="117"/>
      <c r="F16" s="120">
        <v>82099750</v>
      </c>
      <c r="G16" s="120">
        <f>31020000+800000+19262120+18600000+617630+9600000+2200000</f>
        <v>82099750</v>
      </c>
      <c r="H16" s="335">
        <f>G16-F16</f>
        <v>0</v>
      </c>
      <c r="I16" s="219" t="s">
        <v>129</v>
      </c>
      <c r="J16" s="91"/>
      <c r="K16" s="36" t="s">
        <v>154</v>
      </c>
      <c r="M16" s="36"/>
    </row>
    <row r="17" spans="2:11" s="1" customFormat="1" ht="221.25" customHeight="1">
      <c r="B17" s="373"/>
      <c r="C17" s="373"/>
      <c r="D17" s="20"/>
      <c r="E17" s="118"/>
      <c r="F17" s="88"/>
      <c r="G17" s="88"/>
      <c r="H17" s="199"/>
      <c r="I17" s="218" t="s">
        <v>127</v>
      </c>
      <c r="J17" s="91"/>
      <c r="K17" s="36"/>
    </row>
    <row r="18" spans="2:21" s="1" customFormat="1" ht="53.25" customHeight="1">
      <c r="B18" s="373"/>
      <c r="C18" s="373"/>
      <c r="D18" s="15"/>
      <c r="E18" s="24"/>
      <c r="F18" s="106"/>
      <c r="G18" s="88"/>
      <c r="H18" s="191"/>
      <c r="I18" s="251" t="s">
        <v>133</v>
      </c>
      <c r="J18" s="91"/>
      <c r="K18" s="36"/>
      <c r="O18" s="127"/>
      <c r="P18" s="127"/>
      <c r="Q18" s="36"/>
      <c r="R18" s="36"/>
      <c r="S18" s="36"/>
      <c r="T18" s="36"/>
      <c r="U18" s="36"/>
    </row>
    <row r="19" spans="2:21" s="1" customFormat="1" ht="69.75" customHeight="1" thickBot="1">
      <c r="B19" s="374"/>
      <c r="C19" s="374"/>
      <c r="D19" s="259"/>
      <c r="E19" s="125"/>
      <c r="F19" s="119"/>
      <c r="G19" s="126"/>
      <c r="H19" s="192"/>
      <c r="I19" s="260" t="s">
        <v>108</v>
      </c>
      <c r="J19" s="91"/>
      <c r="O19" s="127"/>
      <c r="P19" s="127"/>
      <c r="Q19" s="36"/>
      <c r="R19" s="36"/>
      <c r="S19" s="36"/>
      <c r="T19" s="36"/>
      <c r="U19" s="36"/>
    </row>
    <row r="20" spans="2:21" s="1" customFormat="1" ht="80.25" customHeight="1" thickBot="1">
      <c r="B20" s="369" t="s">
        <v>98</v>
      </c>
      <c r="C20" s="372" t="s">
        <v>106</v>
      </c>
      <c r="D20" s="380" t="s">
        <v>73</v>
      </c>
      <c r="E20" s="252"/>
      <c r="F20" s="223"/>
      <c r="G20" s="224"/>
      <c r="H20" s="225"/>
      <c r="I20" s="226" t="s">
        <v>109</v>
      </c>
      <c r="J20" s="91"/>
      <c r="O20" s="127"/>
      <c r="P20" s="127"/>
      <c r="Q20" s="36"/>
      <c r="R20" s="36"/>
      <c r="S20" s="36"/>
      <c r="T20" s="36"/>
      <c r="U20" s="36"/>
    </row>
    <row r="21" spans="2:21" s="1" customFormat="1" ht="68.25" customHeight="1">
      <c r="B21" s="370"/>
      <c r="C21" s="373"/>
      <c r="D21" s="381"/>
      <c r="E21" s="201"/>
      <c r="F21" s="88"/>
      <c r="G21" s="88"/>
      <c r="H21" s="88"/>
      <c r="I21" s="218" t="s">
        <v>107</v>
      </c>
      <c r="J21" s="162"/>
      <c r="K21" s="36"/>
      <c r="O21" s="127"/>
      <c r="P21" s="127"/>
      <c r="Q21" s="36"/>
      <c r="R21" s="36"/>
      <c r="S21" s="36"/>
      <c r="T21" s="36"/>
      <c r="U21" s="36"/>
    </row>
    <row r="22" spans="2:21" s="1" customFormat="1" ht="42.75" customHeight="1">
      <c r="B22" s="370"/>
      <c r="C22" s="373"/>
      <c r="D22" s="381"/>
      <c r="E22" s="105"/>
      <c r="F22" s="88"/>
      <c r="G22" s="88"/>
      <c r="H22" s="88"/>
      <c r="I22" s="10" t="s">
        <v>146</v>
      </c>
      <c r="J22" s="68"/>
      <c r="K22" s="36"/>
      <c r="O22" s="127"/>
      <c r="P22" s="127"/>
      <c r="Q22" s="36"/>
      <c r="R22" s="36"/>
      <c r="S22" s="36"/>
      <c r="T22" s="36"/>
      <c r="U22" s="36"/>
    </row>
    <row r="23" spans="2:21" s="1" customFormat="1" ht="42.75" customHeight="1">
      <c r="B23" s="370"/>
      <c r="C23" s="373"/>
      <c r="D23" s="381"/>
      <c r="E23" s="105"/>
      <c r="F23" s="32"/>
      <c r="G23" s="88"/>
      <c r="H23" s="88"/>
      <c r="I23" s="11" t="s">
        <v>128</v>
      </c>
      <c r="J23" s="68"/>
      <c r="K23" s="36"/>
      <c r="O23" s="127"/>
      <c r="P23" s="127"/>
      <c r="Q23" s="36"/>
      <c r="R23" s="36"/>
      <c r="S23" s="36"/>
      <c r="T23" s="36"/>
      <c r="U23" s="36"/>
    </row>
    <row r="24" spans="2:17" s="1" customFormat="1" ht="39.75" customHeight="1">
      <c r="B24" s="370"/>
      <c r="C24" s="373"/>
      <c r="D24" s="381"/>
      <c r="E24" s="155"/>
      <c r="F24" s="156"/>
      <c r="G24" s="157"/>
      <c r="H24" s="106"/>
      <c r="I24" s="158" t="s">
        <v>126</v>
      </c>
      <c r="J24" s="159" t="s">
        <v>71</v>
      </c>
      <c r="K24" s="36"/>
      <c r="Q24" s="36"/>
    </row>
    <row r="25" spans="2:12" s="1" customFormat="1" ht="33" customHeight="1">
      <c r="B25" s="370"/>
      <c r="C25" s="373"/>
      <c r="D25" s="382" t="s">
        <v>97</v>
      </c>
      <c r="E25" s="160">
        <v>4411040</v>
      </c>
      <c r="F25" s="379">
        <v>73784230</v>
      </c>
      <c r="G25" s="379">
        <f>23586100+50196110</f>
        <v>73782210</v>
      </c>
      <c r="H25" s="384">
        <f>G25-F25</f>
        <v>-2020</v>
      </c>
      <c r="I25" s="167" t="s">
        <v>162</v>
      </c>
      <c r="J25" s="161"/>
      <c r="K25" s="36"/>
      <c r="L25" s="36"/>
    </row>
    <row r="26" spans="2:12" s="1" customFormat="1" ht="30.75" customHeight="1">
      <c r="B26" s="370"/>
      <c r="C26" s="373"/>
      <c r="D26" s="383"/>
      <c r="E26" s="105"/>
      <c r="F26" s="378"/>
      <c r="G26" s="378"/>
      <c r="H26" s="385"/>
      <c r="I26" s="168" t="s">
        <v>177</v>
      </c>
      <c r="J26" s="68"/>
      <c r="K26" s="36"/>
      <c r="L26" s="36"/>
    </row>
    <row r="27" spans="2:12" s="1" customFormat="1" ht="27.75" customHeight="1">
      <c r="B27" s="370"/>
      <c r="C27" s="373"/>
      <c r="D27" s="392" t="s">
        <v>57</v>
      </c>
      <c r="E27" s="3">
        <v>1862650</v>
      </c>
      <c r="F27" s="120">
        <v>65056350</v>
      </c>
      <c r="G27" s="120">
        <f>30355670+3878250+15888290+9306530+5627610</f>
        <v>65056350</v>
      </c>
      <c r="H27" s="336">
        <f>G27-F27</f>
        <v>0</v>
      </c>
      <c r="I27" s="17" t="s">
        <v>100</v>
      </c>
      <c r="J27" s="68">
        <f>28809010+1546660</f>
        <v>30355670</v>
      </c>
      <c r="K27" s="36"/>
      <c r="L27" s="36"/>
    </row>
    <row r="28" spans="2:12" s="1" customFormat="1" ht="27" customHeight="1">
      <c r="B28" s="370"/>
      <c r="C28" s="373"/>
      <c r="D28" s="393"/>
      <c r="E28" s="3"/>
      <c r="F28" s="3"/>
      <c r="G28" s="3"/>
      <c r="H28" s="191"/>
      <c r="I28" s="198" t="s">
        <v>147</v>
      </c>
      <c r="J28" s="68"/>
      <c r="K28" s="36"/>
      <c r="L28" s="36"/>
    </row>
    <row r="29" spans="2:12" s="1" customFormat="1" ht="21.75" customHeight="1">
      <c r="B29" s="370"/>
      <c r="C29" s="373"/>
      <c r="D29" s="104"/>
      <c r="E29" s="3"/>
      <c r="F29" s="3"/>
      <c r="G29" s="3"/>
      <c r="H29" s="191"/>
      <c r="I29" s="236" t="s">
        <v>101</v>
      </c>
      <c r="J29" s="68">
        <f>198020+3680230</f>
        <v>3878250</v>
      </c>
      <c r="K29" s="36"/>
      <c r="L29" s="36"/>
    </row>
    <row r="30" spans="2:12" s="1" customFormat="1" ht="21" customHeight="1">
      <c r="B30" s="370"/>
      <c r="C30" s="373"/>
      <c r="D30" s="20"/>
      <c r="E30" s="3"/>
      <c r="F30" s="3"/>
      <c r="G30" s="3"/>
      <c r="H30" s="191"/>
      <c r="I30" s="198" t="s">
        <v>152</v>
      </c>
      <c r="J30" s="68"/>
      <c r="K30" s="36"/>
      <c r="L30" s="36"/>
    </row>
    <row r="31" spans="2:12" s="1" customFormat="1" ht="22.5" customHeight="1">
      <c r="B31" s="370"/>
      <c r="C31" s="373"/>
      <c r="D31" s="19"/>
      <c r="E31" s="3">
        <f>3409960+538530+492370</f>
        <v>4440860</v>
      </c>
      <c r="F31" s="3"/>
      <c r="G31" s="3"/>
      <c r="H31" s="191"/>
      <c r="I31" s="17" t="s">
        <v>102</v>
      </c>
      <c r="J31" s="68">
        <f>14218370+1669920</f>
        <v>15888290</v>
      </c>
      <c r="K31" s="36"/>
      <c r="L31" s="36"/>
    </row>
    <row r="32" spans="2:11" s="1" customFormat="1" ht="23.25" customHeight="1">
      <c r="B32" s="370"/>
      <c r="C32" s="373"/>
      <c r="D32" s="44"/>
      <c r="E32" s="5"/>
      <c r="F32" s="89"/>
      <c r="G32" s="89"/>
      <c r="H32" s="191"/>
      <c r="I32" s="198" t="s">
        <v>148</v>
      </c>
      <c r="J32" s="68"/>
      <c r="K32" s="36"/>
    </row>
    <row r="33" spans="2:11" s="1" customFormat="1" ht="21.75" customHeight="1">
      <c r="B33" s="370"/>
      <c r="C33" s="373"/>
      <c r="D33" s="44"/>
      <c r="E33" s="5"/>
      <c r="F33" s="89"/>
      <c r="G33" s="89"/>
      <c r="H33" s="191"/>
      <c r="I33" s="236" t="s">
        <v>103</v>
      </c>
      <c r="J33" s="110"/>
      <c r="K33" s="36"/>
    </row>
    <row r="34" spans="2:10" s="1" customFormat="1" ht="29.25" customHeight="1">
      <c r="B34" s="370"/>
      <c r="C34" s="373"/>
      <c r="D34" s="19"/>
      <c r="E34" s="5"/>
      <c r="F34" s="89"/>
      <c r="G34" s="89"/>
      <c r="H34" s="191"/>
      <c r="I34" s="10" t="s">
        <v>160</v>
      </c>
      <c r="J34" s="36">
        <f>9306530</f>
        <v>9306530</v>
      </c>
    </row>
    <row r="35" spans="2:11" s="1" customFormat="1" ht="44.25" customHeight="1" thickBot="1">
      <c r="B35" s="370"/>
      <c r="C35" s="374"/>
      <c r="D35" s="100"/>
      <c r="E35" s="227"/>
      <c r="F35" s="228"/>
      <c r="G35" s="228"/>
      <c r="H35" s="192"/>
      <c r="I35" s="237" t="s">
        <v>161</v>
      </c>
      <c r="J35" s="94">
        <f>5627610</f>
        <v>5627610</v>
      </c>
      <c r="K35" s="36"/>
    </row>
    <row r="36" spans="2:11" s="1" customFormat="1" ht="30.75" customHeight="1" thickBot="1">
      <c r="B36" s="370"/>
      <c r="C36" s="372" t="s">
        <v>75</v>
      </c>
      <c r="D36" s="220" t="s">
        <v>11</v>
      </c>
      <c r="E36" s="221" t="e">
        <f>E37+#REF!+E39</f>
        <v>#REF!</v>
      </c>
      <c r="F36" s="222">
        <f>F37+F39+F38</f>
        <v>3658940</v>
      </c>
      <c r="G36" s="222">
        <f>G37+G38+G39</f>
        <v>3658940</v>
      </c>
      <c r="H36" s="337">
        <f aca="true" t="shared" si="0" ref="H36:H41">G36-F36</f>
        <v>0</v>
      </c>
      <c r="I36" s="122"/>
      <c r="J36" s="67">
        <f aca="true" t="shared" si="1" ref="J36:J47">G36-F36</f>
        <v>0</v>
      </c>
      <c r="K36" s="36"/>
    </row>
    <row r="37" spans="2:11" s="1" customFormat="1" ht="75" customHeight="1" thickBot="1">
      <c r="B37" s="370"/>
      <c r="C37" s="373"/>
      <c r="D37" s="135" t="s">
        <v>17</v>
      </c>
      <c r="E37" s="108">
        <f>350000+200000</f>
        <v>550000</v>
      </c>
      <c r="F37" s="240">
        <v>1466880</v>
      </c>
      <c r="G37" s="240">
        <f>16880+1450000</f>
        <v>1466880</v>
      </c>
      <c r="H37" s="338">
        <f t="shared" si="0"/>
        <v>0</v>
      </c>
      <c r="I37" s="250" t="s">
        <v>149</v>
      </c>
      <c r="J37" s="68">
        <f t="shared" si="1"/>
        <v>0</v>
      </c>
      <c r="K37" s="36"/>
    </row>
    <row r="38" spans="2:11" s="1" customFormat="1" ht="48" customHeight="1">
      <c r="B38" s="370"/>
      <c r="C38" s="373"/>
      <c r="D38" s="37" t="s">
        <v>50</v>
      </c>
      <c r="E38" s="102"/>
      <c r="F38" s="203">
        <v>1600000</v>
      </c>
      <c r="G38" s="203">
        <v>1600000</v>
      </c>
      <c r="H38" s="245">
        <f t="shared" si="0"/>
        <v>0</v>
      </c>
      <c r="I38" s="244" t="s">
        <v>105</v>
      </c>
      <c r="J38" s="68">
        <f t="shared" si="1"/>
        <v>0</v>
      </c>
      <c r="K38" s="36"/>
    </row>
    <row r="39" spans="2:11" s="1" customFormat="1" ht="50.25" customHeight="1" thickBot="1">
      <c r="B39" s="371"/>
      <c r="C39" s="374"/>
      <c r="D39" s="100" t="s">
        <v>18</v>
      </c>
      <c r="E39" s="282">
        <f>400000+200000</f>
        <v>600000</v>
      </c>
      <c r="F39" s="92">
        <v>592060</v>
      </c>
      <c r="G39" s="92">
        <f>576800+15260</f>
        <v>592060</v>
      </c>
      <c r="H39" s="340">
        <f t="shared" si="0"/>
        <v>0</v>
      </c>
      <c r="I39" s="285" t="s">
        <v>135</v>
      </c>
      <c r="J39" s="68">
        <f t="shared" si="1"/>
        <v>0</v>
      </c>
      <c r="K39" s="36"/>
    </row>
    <row r="40" spans="2:11" s="1" customFormat="1" ht="33.75" customHeight="1" thickBot="1">
      <c r="B40" s="399" t="s">
        <v>98</v>
      </c>
      <c r="C40" s="372" t="s">
        <v>85</v>
      </c>
      <c r="D40" s="55" t="s">
        <v>11</v>
      </c>
      <c r="E40" s="65" t="e">
        <f>E41+E42+E44+E45+E46++#REF!</f>
        <v>#REF!</v>
      </c>
      <c r="F40" s="81">
        <f>F41+F42+F44+F46+F47</f>
        <v>64396023</v>
      </c>
      <c r="G40" s="81">
        <f>G41+G42+G44+G46+G47</f>
        <v>64396023</v>
      </c>
      <c r="H40" s="339">
        <f t="shared" si="0"/>
        <v>0</v>
      </c>
      <c r="I40" s="122"/>
      <c r="J40" s="67">
        <f t="shared" si="1"/>
        <v>0</v>
      </c>
      <c r="K40" s="36"/>
    </row>
    <row r="41" spans="2:11" s="1" customFormat="1" ht="45" customHeight="1">
      <c r="B41" s="400"/>
      <c r="C41" s="373"/>
      <c r="D41" s="202" t="s">
        <v>19</v>
      </c>
      <c r="E41" s="203">
        <f>4000000+1000000</f>
        <v>5000000</v>
      </c>
      <c r="F41" s="4">
        <v>738600</v>
      </c>
      <c r="G41" s="4">
        <f>224000+514600</f>
        <v>738600</v>
      </c>
      <c r="H41" s="314">
        <f t="shared" si="0"/>
        <v>0</v>
      </c>
      <c r="I41" s="238" t="s">
        <v>138</v>
      </c>
      <c r="J41" s="68">
        <f t="shared" si="1"/>
        <v>0</v>
      </c>
      <c r="K41" s="36">
        <f>400000+5000000+1500000</f>
        <v>6900000</v>
      </c>
    </row>
    <row r="42" spans="2:13" s="1" customFormat="1" ht="61.5" customHeight="1">
      <c r="B42" s="400"/>
      <c r="C42" s="373"/>
      <c r="D42" s="387" t="s">
        <v>20</v>
      </c>
      <c r="E42" s="253">
        <v>2300000</v>
      </c>
      <c r="F42" s="379">
        <v>5856560</v>
      </c>
      <c r="G42" s="379">
        <f>1717200+87520+220000+1176530+1800000+596310+124000+120000+15000</f>
        <v>5856560</v>
      </c>
      <c r="H42" s="396">
        <f>G42-F42</f>
        <v>0</v>
      </c>
      <c r="I42" s="254" t="s">
        <v>151</v>
      </c>
      <c r="J42" s="68">
        <f t="shared" si="1"/>
        <v>0</v>
      </c>
      <c r="K42" s="36">
        <f>3500000+300000+900000+3000000</f>
        <v>7700000</v>
      </c>
      <c r="M42" s="1" t="s">
        <v>62</v>
      </c>
    </row>
    <row r="43" spans="2:11" s="1" customFormat="1" ht="69" customHeight="1">
      <c r="B43" s="400"/>
      <c r="C43" s="373"/>
      <c r="D43" s="388"/>
      <c r="E43" s="173"/>
      <c r="F43" s="378"/>
      <c r="G43" s="378"/>
      <c r="H43" s="391"/>
      <c r="I43" s="255" t="s">
        <v>150</v>
      </c>
      <c r="J43" s="68"/>
      <c r="K43" s="36"/>
    </row>
    <row r="44" spans="2:11" s="1" customFormat="1" ht="47.25" customHeight="1">
      <c r="B44" s="400"/>
      <c r="C44" s="373"/>
      <c r="D44" s="375" t="s">
        <v>58</v>
      </c>
      <c r="E44" s="3">
        <v>1500000</v>
      </c>
      <c r="F44" s="377">
        <v>9517990</v>
      </c>
      <c r="G44" s="377">
        <f>403040+5059250+393570+420340+2304430+97680+800000+7680+32000</f>
        <v>9517990</v>
      </c>
      <c r="H44" s="390">
        <f>G44-F44</f>
        <v>0</v>
      </c>
      <c r="I44" s="107" t="s">
        <v>165</v>
      </c>
      <c r="J44" s="68">
        <f t="shared" si="1"/>
        <v>0</v>
      </c>
      <c r="K44" s="36">
        <f>664570+203540</f>
        <v>868110</v>
      </c>
    </row>
    <row r="45" spans="2:11" s="1" customFormat="1" ht="82.5" customHeight="1">
      <c r="B45" s="400"/>
      <c r="C45" s="373"/>
      <c r="D45" s="376"/>
      <c r="E45" s="4">
        <f>2000000</f>
        <v>2000000</v>
      </c>
      <c r="F45" s="378"/>
      <c r="G45" s="378"/>
      <c r="H45" s="391"/>
      <c r="I45" s="239" t="s">
        <v>144</v>
      </c>
      <c r="J45" s="68">
        <f t="shared" si="1"/>
        <v>0</v>
      </c>
      <c r="K45" s="36">
        <f>30000+3500000+900000+250000+200000</f>
        <v>4880000</v>
      </c>
    </row>
    <row r="46" spans="2:11" s="1" customFormat="1" ht="57.75" customHeight="1">
      <c r="B46" s="400"/>
      <c r="C46" s="373"/>
      <c r="D46" s="21" t="s">
        <v>21</v>
      </c>
      <c r="E46" s="4">
        <v>2500000</v>
      </c>
      <c r="F46" s="90">
        <v>10216673</v>
      </c>
      <c r="G46" s="90">
        <f>8943673+1273000</f>
        <v>10216673</v>
      </c>
      <c r="H46" s="336">
        <f>G46-F46</f>
        <v>0</v>
      </c>
      <c r="I46" s="23" t="s">
        <v>158</v>
      </c>
      <c r="J46" s="68">
        <f t="shared" si="1"/>
        <v>0</v>
      </c>
      <c r="K46" s="36">
        <f>7000000+2000000+100000</f>
        <v>9100000</v>
      </c>
    </row>
    <row r="47" spans="2:11" s="1" customFormat="1" ht="37.5" customHeight="1">
      <c r="B47" s="400"/>
      <c r="C47" s="373"/>
      <c r="D47" s="382" t="s">
        <v>49</v>
      </c>
      <c r="E47" s="105"/>
      <c r="F47" s="112">
        <v>38066200</v>
      </c>
      <c r="G47" s="112">
        <f>3326800+1100000+1230000+2400000+2400000+9600000+779400+5400000+3600000+5000000+1410000+1000000+820000</f>
        <v>38066200</v>
      </c>
      <c r="H47" s="336">
        <f>G47-F47</f>
        <v>0</v>
      </c>
      <c r="I47" s="341" t="s">
        <v>159</v>
      </c>
      <c r="J47" s="68">
        <f t="shared" si="1"/>
        <v>0</v>
      </c>
      <c r="K47" s="36"/>
    </row>
    <row r="48" spans="2:11" s="1" customFormat="1" ht="75" customHeight="1">
      <c r="B48" s="400"/>
      <c r="C48" s="373"/>
      <c r="D48" s="359"/>
      <c r="E48" s="105"/>
      <c r="F48" s="112"/>
      <c r="G48" s="112"/>
      <c r="H48" s="191"/>
      <c r="I48" s="111" t="s">
        <v>153</v>
      </c>
      <c r="J48" s="68"/>
      <c r="K48" s="36"/>
    </row>
    <row r="49" spans="2:13" s="1" customFormat="1" ht="61.5" customHeight="1">
      <c r="B49" s="400"/>
      <c r="C49" s="373"/>
      <c r="D49" s="359"/>
      <c r="E49" s="105"/>
      <c r="F49" s="112"/>
      <c r="G49" s="112"/>
      <c r="H49" s="200"/>
      <c r="I49" s="111" t="s">
        <v>130</v>
      </c>
      <c r="J49" s="68"/>
      <c r="K49" s="36"/>
      <c r="L49" s="127">
        <v>100000</v>
      </c>
      <c r="M49" s="1">
        <v>4</v>
      </c>
    </row>
    <row r="50" spans="2:11" s="1" customFormat="1" ht="45" customHeight="1">
      <c r="B50" s="400"/>
      <c r="C50" s="373"/>
      <c r="D50" s="359"/>
      <c r="E50" s="105"/>
      <c r="F50" s="112"/>
      <c r="G50" s="112"/>
      <c r="H50" s="200"/>
      <c r="I50" s="111" t="s">
        <v>131</v>
      </c>
      <c r="J50" s="68"/>
      <c r="K50" s="36"/>
    </row>
    <row r="51" spans="2:11" s="1" customFormat="1" ht="31.5" customHeight="1">
      <c r="B51" s="400"/>
      <c r="C51" s="373"/>
      <c r="D51" s="359"/>
      <c r="E51" s="105"/>
      <c r="F51" s="112"/>
      <c r="G51" s="112"/>
      <c r="H51" s="200"/>
      <c r="I51" s="111" t="s">
        <v>117</v>
      </c>
      <c r="J51" s="68"/>
      <c r="K51" s="36"/>
    </row>
    <row r="52" spans="2:18" s="1" customFormat="1" ht="37.5" customHeight="1">
      <c r="B52" s="400"/>
      <c r="C52" s="373"/>
      <c r="D52" s="359"/>
      <c r="E52" s="105"/>
      <c r="F52" s="112"/>
      <c r="G52" s="112"/>
      <c r="H52" s="200"/>
      <c r="I52" s="111" t="s">
        <v>116</v>
      </c>
      <c r="J52" s="68"/>
      <c r="K52" s="36"/>
      <c r="L52" s="127">
        <v>4000000</v>
      </c>
      <c r="M52" s="127">
        <v>300000</v>
      </c>
      <c r="N52" s="1">
        <v>36</v>
      </c>
      <c r="O52" s="36">
        <f>M52*N52</f>
        <v>10800000</v>
      </c>
      <c r="Q52" s="36">
        <f>L52+O52</f>
        <v>14800000</v>
      </c>
      <c r="R52" s="36">
        <f>Q52/40</f>
        <v>370000</v>
      </c>
    </row>
    <row r="53" spans="2:18" s="1" customFormat="1" ht="77.25" customHeight="1" thickBot="1">
      <c r="B53" s="401"/>
      <c r="C53" s="374"/>
      <c r="D53" s="389"/>
      <c r="E53" s="282"/>
      <c r="F53" s="299"/>
      <c r="G53" s="299"/>
      <c r="H53" s="300"/>
      <c r="I53" s="330" t="s">
        <v>118</v>
      </c>
      <c r="J53" s="68"/>
      <c r="K53" s="36"/>
      <c r="L53" s="127"/>
      <c r="M53" s="127"/>
      <c r="O53" s="36"/>
      <c r="Q53" s="36"/>
      <c r="R53" s="36"/>
    </row>
    <row r="54" spans="2:18" s="1" customFormat="1" ht="33.75" customHeight="1" thickBot="1">
      <c r="B54" s="328" t="s">
        <v>163</v>
      </c>
      <c r="C54" s="329" t="s">
        <v>164</v>
      </c>
      <c r="D54" s="327" t="s">
        <v>49</v>
      </c>
      <c r="E54" s="282"/>
      <c r="F54" s="299"/>
      <c r="G54" s="299"/>
      <c r="H54" s="300"/>
      <c r="I54" s="285" t="s">
        <v>139</v>
      </c>
      <c r="J54" s="68"/>
      <c r="K54" s="36"/>
      <c r="L54" s="127"/>
      <c r="M54" s="127"/>
      <c r="O54" s="36"/>
      <c r="Q54" s="36"/>
      <c r="R54" s="36"/>
    </row>
    <row r="55" spans="2:11" s="1" customFormat="1" ht="39" customHeight="1" thickBot="1">
      <c r="B55" s="372" t="s">
        <v>83</v>
      </c>
      <c r="C55" s="372" t="s">
        <v>84</v>
      </c>
      <c r="D55" s="18" t="s">
        <v>11</v>
      </c>
      <c r="E55" s="7" t="e">
        <f>#REF!+E56+#REF!</f>
        <v>#REF!</v>
      </c>
      <c r="F55" s="81">
        <f>F56</f>
        <v>77912859</v>
      </c>
      <c r="G55" s="81">
        <f>G56</f>
        <v>77912859</v>
      </c>
      <c r="H55" s="316">
        <f>G55-F55</f>
        <v>0</v>
      </c>
      <c r="I55" s="123" t="s">
        <v>71</v>
      </c>
      <c r="J55" s="67">
        <f>G55-F55</f>
        <v>0</v>
      </c>
      <c r="K55" s="36"/>
    </row>
    <row r="56" spans="2:13" s="1" customFormat="1" ht="54" customHeight="1" thickBot="1">
      <c r="B56" s="386"/>
      <c r="C56" s="386"/>
      <c r="D56" s="95" t="s">
        <v>22</v>
      </c>
      <c r="E56" s="92">
        <v>3000000</v>
      </c>
      <c r="F56" s="92">
        <v>77912859</v>
      </c>
      <c r="G56" s="92">
        <f>52206000+22236859+3030000+440000</f>
        <v>77912859</v>
      </c>
      <c r="H56" s="315">
        <f>G56-F56</f>
        <v>0</v>
      </c>
      <c r="I56" s="93" t="s">
        <v>140</v>
      </c>
      <c r="J56" s="68"/>
      <c r="K56" s="36">
        <f>5000000+38000000+500000+500000</f>
        <v>44000000</v>
      </c>
      <c r="M56" s="92">
        <f>3000000+52000000+23000000+98417276</f>
        <v>176417276</v>
      </c>
    </row>
    <row r="57" spans="2:11" s="6" customFormat="1" ht="34.5" customHeight="1" thickBot="1">
      <c r="B57" s="372" t="s">
        <v>86</v>
      </c>
      <c r="C57" s="372" t="s">
        <v>86</v>
      </c>
      <c r="D57" s="163" t="s">
        <v>11</v>
      </c>
      <c r="E57" s="7">
        <f>SUM(E58:E64)</f>
        <v>16110000</v>
      </c>
      <c r="F57" s="81">
        <f>SUM(F58:F64)</f>
        <v>19078570</v>
      </c>
      <c r="G57" s="81">
        <f>SUM(G58:G64)</f>
        <v>19071870</v>
      </c>
      <c r="H57" s="269">
        <f aca="true" t="shared" si="2" ref="H57:H67">G57-F57</f>
        <v>-6700</v>
      </c>
      <c r="I57" s="123"/>
      <c r="J57" s="67">
        <f>G57-F57</f>
        <v>-6700</v>
      </c>
      <c r="K57" s="43"/>
    </row>
    <row r="58" spans="2:11" s="6" customFormat="1" ht="51.75" customHeight="1">
      <c r="B58" s="373"/>
      <c r="C58" s="373"/>
      <c r="D58" s="317" t="s">
        <v>23</v>
      </c>
      <c r="E58" s="203">
        <f>10400000+780000</f>
        <v>11180000</v>
      </c>
      <c r="F58" s="203">
        <v>7652050</v>
      </c>
      <c r="G58" s="203">
        <f>5779040+1868810</f>
        <v>7647850</v>
      </c>
      <c r="H58" s="318">
        <f>G58-F58</f>
        <v>-4200</v>
      </c>
      <c r="I58" s="319" t="s">
        <v>179</v>
      </c>
      <c r="J58" s="68">
        <f>G58-F58</f>
        <v>-4200</v>
      </c>
      <c r="K58" s="43"/>
    </row>
    <row r="59" spans="2:11" s="6" customFormat="1" ht="41.25" customHeight="1">
      <c r="B59" s="373"/>
      <c r="C59" s="373"/>
      <c r="D59" s="40" t="s">
        <v>77</v>
      </c>
      <c r="E59" s="4"/>
      <c r="F59" s="2">
        <v>617500</v>
      </c>
      <c r="G59" s="2">
        <f>617500</f>
        <v>617500</v>
      </c>
      <c r="H59" s="320">
        <f>G59-F59</f>
        <v>0</v>
      </c>
      <c r="I59" s="29" t="s">
        <v>134</v>
      </c>
      <c r="J59" s="68">
        <f aca="true" t="shared" si="3" ref="J59:J64">G59-F59</f>
        <v>0</v>
      </c>
      <c r="K59" s="43"/>
    </row>
    <row r="60" spans="2:11" s="6" customFormat="1" ht="72" customHeight="1">
      <c r="B60" s="373"/>
      <c r="C60" s="373"/>
      <c r="D60" s="40" t="s">
        <v>24</v>
      </c>
      <c r="E60" s="4">
        <f>2040000+510000</f>
        <v>2550000</v>
      </c>
      <c r="F60" s="4">
        <v>5700000</v>
      </c>
      <c r="G60" s="4">
        <f>3000000+2700000</f>
        <v>5700000</v>
      </c>
      <c r="H60" s="314">
        <f>G60-F60</f>
        <v>0</v>
      </c>
      <c r="I60" s="23" t="s">
        <v>119</v>
      </c>
      <c r="J60" s="68">
        <f t="shared" si="3"/>
        <v>0</v>
      </c>
      <c r="K60" s="43"/>
    </row>
    <row r="61" spans="2:11" s="6" customFormat="1" ht="60" customHeight="1">
      <c r="B61" s="373"/>
      <c r="C61" s="373"/>
      <c r="D61" s="47" t="s">
        <v>91</v>
      </c>
      <c r="E61" s="4">
        <f>1500000+500000</f>
        <v>2000000</v>
      </c>
      <c r="F61" s="4">
        <v>1468100</v>
      </c>
      <c r="G61" s="4">
        <f>251100+1217000</f>
        <v>1468100</v>
      </c>
      <c r="H61" s="334">
        <f>G61-F61</f>
        <v>0</v>
      </c>
      <c r="I61" s="23" t="s">
        <v>155</v>
      </c>
      <c r="J61" s="68">
        <f t="shared" si="3"/>
        <v>0</v>
      </c>
      <c r="K61" s="43"/>
    </row>
    <row r="62" spans="2:11" s="6" customFormat="1" ht="78.75" customHeight="1">
      <c r="B62" s="373"/>
      <c r="C62" s="373"/>
      <c r="D62" s="256" t="s">
        <v>25</v>
      </c>
      <c r="E62" s="243">
        <f>180000+200000</f>
        <v>380000</v>
      </c>
      <c r="F62" s="243">
        <v>2282100</v>
      </c>
      <c r="G62" s="243">
        <f>497800+1000000+759300+25000</f>
        <v>2282100</v>
      </c>
      <c r="H62" s="334">
        <f t="shared" si="2"/>
        <v>0</v>
      </c>
      <c r="I62" s="23" t="s">
        <v>156</v>
      </c>
      <c r="J62" s="68">
        <f t="shared" si="3"/>
        <v>0</v>
      </c>
      <c r="K62" s="43"/>
    </row>
    <row r="63" spans="2:11" s="6" customFormat="1" ht="45" customHeight="1">
      <c r="B63" s="373"/>
      <c r="C63" s="373"/>
      <c r="D63" s="30" t="s">
        <v>42</v>
      </c>
      <c r="E63" s="258">
        <v>0</v>
      </c>
      <c r="F63" s="2">
        <v>1258820</v>
      </c>
      <c r="G63" s="2">
        <f>1256320</f>
        <v>1256320</v>
      </c>
      <c r="H63" s="257">
        <f t="shared" si="2"/>
        <v>-2500</v>
      </c>
      <c r="I63" s="29" t="s">
        <v>180</v>
      </c>
      <c r="J63" s="68">
        <f t="shared" si="3"/>
        <v>-2500</v>
      </c>
      <c r="K63" s="43">
        <f>2400000+2000000+100000</f>
        <v>4500000</v>
      </c>
    </row>
    <row r="64" spans="2:11" s="6" customFormat="1" ht="44.25" customHeight="1" thickBot="1">
      <c r="B64" s="374"/>
      <c r="C64" s="374"/>
      <c r="D64" s="42" t="s">
        <v>26</v>
      </c>
      <c r="E64" s="45">
        <v>0</v>
      </c>
      <c r="F64" s="166">
        <v>100000</v>
      </c>
      <c r="G64" s="166">
        <f>100000</f>
        <v>100000</v>
      </c>
      <c r="H64" s="315">
        <f t="shared" si="2"/>
        <v>0</v>
      </c>
      <c r="I64" s="98" t="s">
        <v>178</v>
      </c>
      <c r="J64" s="68">
        <f t="shared" si="3"/>
        <v>0</v>
      </c>
      <c r="K64" s="43"/>
    </row>
    <row r="65" spans="2:11" s="6" customFormat="1" ht="36.75" customHeight="1" thickBot="1">
      <c r="B65" s="402" t="s">
        <v>0</v>
      </c>
      <c r="C65" s="402" t="s">
        <v>0</v>
      </c>
      <c r="D65" s="18" t="s">
        <v>11</v>
      </c>
      <c r="E65" s="70">
        <f>SUM(E66:E66)</f>
        <v>4680000</v>
      </c>
      <c r="F65" s="197">
        <f>F66</f>
        <v>3772600</v>
      </c>
      <c r="G65" s="197">
        <f>G66</f>
        <v>3772600</v>
      </c>
      <c r="H65" s="322">
        <f t="shared" si="2"/>
        <v>0</v>
      </c>
      <c r="I65" s="41"/>
      <c r="J65" s="67">
        <f>G65-F65</f>
        <v>0</v>
      </c>
      <c r="K65" s="43"/>
    </row>
    <row r="66" spans="2:11" s="6" customFormat="1" ht="44.25" customHeight="1" thickBot="1">
      <c r="B66" s="386"/>
      <c r="C66" s="386"/>
      <c r="D66" s="28" t="s">
        <v>0</v>
      </c>
      <c r="E66" s="70">
        <v>4680000</v>
      </c>
      <c r="F66" s="69">
        <v>3772600</v>
      </c>
      <c r="G66" s="69">
        <f>1500000+2000000+272600</f>
        <v>3772600</v>
      </c>
      <c r="H66" s="321">
        <f t="shared" si="2"/>
        <v>0</v>
      </c>
      <c r="I66" s="246" t="s">
        <v>141</v>
      </c>
      <c r="J66" s="68">
        <f>G66-F66</f>
        <v>0</v>
      </c>
      <c r="K66" s="43"/>
    </row>
    <row r="67" spans="2:13" s="6" customFormat="1" ht="34.5" customHeight="1" thickBot="1">
      <c r="B67" s="397" t="s">
        <v>1</v>
      </c>
      <c r="C67" s="397" t="s">
        <v>1</v>
      </c>
      <c r="D67" s="286" t="s">
        <v>11</v>
      </c>
      <c r="E67" s="287">
        <f>SUM(E69)</f>
        <v>4465010</v>
      </c>
      <c r="F67" s="7">
        <f>F68+F69</f>
        <v>370437067</v>
      </c>
      <c r="G67" s="7">
        <f>G68+G69</f>
        <v>371242977</v>
      </c>
      <c r="H67" s="265">
        <f t="shared" si="2"/>
        <v>805910</v>
      </c>
      <c r="I67" s="288"/>
      <c r="J67" s="68">
        <f>G67-F67</f>
        <v>805910</v>
      </c>
      <c r="K67" s="43"/>
      <c r="M67" s="6" t="s">
        <v>104</v>
      </c>
    </row>
    <row r="68" spans="2:15" s="6" customFormat="1" ht="34.5" customHeight="1">
      <c r="B68" s="398"/>
      <c r="C68" s="398"/>
      <c r="D68" s="289" t="s">
        <v>99</v>
      </c>
      <c r="E68" s="290"/>
      <c r="F68" s="4">
        <v>172052</v>
      </c>
      <c r="G68" s="4">
        <f>172052</f>
        <v>172052</v>
      </c>
      <c r="H68" s="323">
        <f>G68-F68</f>
        <v>0</v>
      </c>
      <c r="I68" s="291" t="s">
        <v>142</v>
      </c>
      <c r="J68" s="68">
        <f>G68-F68</f>
        <v>0</v>
      </c>
      <c r="K68" s="43"/>
      <c r="M68" s="6">
        <v>790</v>
      </c>
      <c r="N68" s="6">
        <v>810</v>
      </c>
      <c r="O68" s="6">
        <f>SUM(M68:N68)</f>
        <v>1600</v>
      </c>
    </row>
    <row r="69" spans="2:15" s="6" customFormat="1" ht="32.25" customHeight="1" thickBot="1">
      <c r="B69" s="292" t="s">
        <v>1</v>
      </c>
      <c r="C69" s="292" t="s">
        <v>1</v>
      </c>
      <c r="D69" s="281" t="s">
        <v>1</v>
      </c>
      <c r="E69" s="282">
        <v>4465010</v>
      </c>
      <c r="F69" s="283">
        <v>370265015</v>
      </c>
      <c r="G69" s="283">
        <f>255653645+3953604+115958+1609591+3954159+247+3002997+3002997+20000000+50000000+2831108+26945270+675+674</f>
        <v>371070925</v>
      </c>
      <c r="H69" s="284">
        <f>G69-F69</f>
        <v>805910</v>
      </c>
      <c r="I69" s="285"/>
      <c r="J69" s="68">
        <f>G69-F69</f>
        <v>805910</v>
      </c>
      <c r="K69" s="43">
        <f>G69-F69</f>
        <v>805910</v>
      </c>
      <c r="M69" s="6">
        <v>378</v>
      </c>
      <c r="N69" s="6">
        <v>322</v>
      </c>
      <c r="O69" s="6">
        <f>SUM(M69:N69)</f>
        <v>700</v>
      </c>
    </row>
    <row r="70" spans="7:15" ht="13.5">
      <c r="G70" t="s">
        <v>72</v>
      </c>
      <c r="O70">
        <f>SUM(O68:O69)</f>
        <v>2300</v>
      </c>
    </row>
    <row r="73" spans="7:12" ht="13.5">
      <c r="G73" s="31">
        <f>세입결산!F6-세출결산!G7</f>
        <v>0</v>
      </c>
      <c r="L73" s="249"/>
    </row>
    <row r="74" spans="7:12" ht="14.25" thickBot="1">
      <c r="G74" s="31">
        <v>354557195</v>
      </c>
      <c r="H74" s="35">
        <f>G69</f>
        <v>371070925</v>
      </c>
      <c r="L74" s="115"/>
    </row>
    <row r="75" spans="7:9" ht="13.5">
      <c r="G75" s="31">
        <f>G73-G74</f>
        <v>-354557195</v>
      </c>
      <c r="H75" s="31"/>
      <c r="I75" s="31"/>
    </row>
    <row r="76" ht="13.5">
      <c r="H76" s="31">
        <f>H74-H75</f>
        <v>371070925</v>
      </c>
    </row>
    <row r="79" ht="13.5">
      <c r="H79" s="8"/>
    </row>
    <row r="80" ht="13.5">
      <c r="H80" s="8"/>
    </row>
    <row r="81" ht="13.5">
      <c r="H81" s="8"/>
    </row>
    <row r="82" ht="13.5">
      <c r="H82" s="8"/>
    </row>
    <row r="83" ht="13.5">
      <c r="H83" s="8"/>
    </row>
    <row r="84" ht="13.5">
      <c r="H84" s="8"/>
    </row>
    <row r="85" spans="6:8" ht="13.5">
      <c r="F85" s="31"/>
      <c r="G85" s="31" t="e">
        <f>세입결산!#REF!</f>
        <v>#REF!</v>
      </c>
      <c r="H85" s="8"/>
    </row>
    <row r="86" spans="7:8" ht="13.5">
      <c r="G86" s="31">
        <f>G7</f>
        <v>1666861969</v>
      </c>
      <c r="H86" s="8"/>
    </row>
    <row r="87" spans="7:8" ht="13.5">
      <c r="G87" s="31" t="e">
        <f>G85-G86</f>
        <v>#REF!</v>
      </c>
      <c r="H87" s="8"/>
    </row>
    <row r="88" spans="7:8" ht="13.5">
      <c r="G88" s="35"/>
      <c r="H88" s="8"/>
    </row>
    <row r="89" spans="6:8" ht="13.5">
      <c r="F89" s="31"/>
      <c r="G89" s="31"/>
      <c r="H89" s="8"/>
    </row>
    <row r="90" ht="13.5">
      <c r="H90" s="8">
        <v>0</v>
      </c>
    </row>
    <row r="91" ht="13.5">
      <c r="H91" s="8"/>
    </row>
    <row r="92" ht="13.5">
      <c r="H92" s="8"/>
    </row>
    <row r="93" spans="6:8" ht="13.5">
      <c r="F93" s="31" t="e">
        <f>F7-세입결산!#REF!</f>
        <v>#REF!</v>
      </c>
      <c r="H93" s="8"/>
    </row>
    <row r="94" ht="13.5">
      <c r="H94" s="8"/>
    </row>
    <row r="95" ht="13.5">
      <c r="H95" s="8"/>
    </row>
    <row r="96" ht="13.5">
      <c r="H96" s="8"/>
    </row>
  </sheetData>
  <sheetProtection/>
  <mergeCells count="35">
    <mergeCell ref="B67:B68"/>
    <mergeCell ref="B8:B19"/>
    <mergeCell ref="C20:C35"/>
    <mergeCell ref="C8:C19"/>
    <mergeCell ref="C67:C68"/>
    <mergeCell ref="B55:B56"/>
    <mergeCell ref="B40:B53"/>
    <mergeCell ref="B65:B66"/>
    <mergeCell ref="C65:C66"/>
    <mergeCell ref="B57:B64"/>
    <mergeCell ref="I5:I6"/>
    <mergeCell ref="D27:D28"/>
    <mergeCell ref="E5:E6"/>
    <mergeCell ref="G5:G6"/>
    <mergeCell ref="F5:F6"/>
    <mergeCell ref="C57:C64"/>
    <mergeCell ref="H5:H6"/>
    <mergeCell ref="F25:F26"/>
    <mergeCell ref="G25:G26"/>
    <mergeCell ref="H42:H43"/>
    <mergeCell ref="H25:H26"/>
    <mergeCell ref="C55:C56"/>
    <mergeCell ref="D42:D43"/>
    <mergeCell ref="C40:C53"/>
    <mergeCell ref="D47:D53"/>
    <mergeCell ref="G44:G45"/>
    <mergeCell ref="H44:H45"/>
    <mergeCell ref="B20:B39"/>
    <mergeCell ref="C36:C39"/>
    <mergeCell ref="D44:D45"/>
    <mergeCell ref="F44:F45"/>
    <mergeCell ref="F42:F43"/>
    <mergeCell ref="G42:G43"/>
    <mergeCell ref="D20:D24"/>
    <mergeCell ref="D25:D26"/>
  </mergeCells>
  <printOptions/>
  <pageMargins left="0.31496062992125984" right="0" top="0.3937007874015748" bottom="0.3937007874015748" header="0" footer="0.31496062992125984"/>
  <pageSetup horizontalDpi="600" verticalDpi="600" orientation="portrait" pageOrder="overThenDown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성안가정도우미파견센타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송문빈</dc:creator>
  <cp:keywords/>
  <dc:description/>
  <cp:lastModifiedBy>user</cp:lastModifiedBy>
  <cp:lastPrinted>2024-02-21T08:22:26Z</cp:lastPrinted>
  <dcterms:created xsi:type="dcterms:W3CDTF">2007-04-06T04:23:55Z</dcterms:created>
  <dcterms:modified xsi:type="dcterms:W3CDTF">2024-03-25T05:33:45Z</dcterms:modified>
  <cp:category/>
  <cp:version/>
  <cp:contentType/>
  <cp:contentStatus/>
</cp:coreProperties>
</file>