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896" activeTab="0"/>
  </bookViews>
  <sheets>
    <sheet name="표지" sheetId="1" r:id="rId1"/>
    <sheet name="총괄(2022년2차추경)" sheetId="2" r:id="rId2"/>
    <sheet name="2차추경세입예산" sheetId="3" r:id="rId3"/>
    <sheet name="2차추경세출예산" sheetId="4" r:id="rId4"/>
  </sheets>
  <definedNames>
    <definedName name="_xlnm.Print_Area" localSheetId="3">'2차추경세출예산'!$A$1:$I$76</definedName>
    <definedName name="_xlnm.Print_Titles" localSheetId="2">'2차추경세입예산'!$3:$5</definedName>
    <definedName name="_xlnm.Print_Titles" localSheetId="3">'2차추경세출예산'!$3:$6</definedName>
  </definedNames>
  <calcPr fullCalcOnLoad="1"/>
</workbook>
</file>

<file path=xl/sharedStrings.xml><?xml version="1.0" encoding="utf-8"?>
<sst xmlns="http://schemas.openxmlformats.org/spreadsheetml/2006/main" count="232" uniqueCount="191">
  <si>
    <t>잡지출</t>
  </si>
  <si>
    <t>예비비</t>
  </si>
  <si>
    <t>예산대비</t>
  </si>
  <si>
    <t>후원금
수  입</t>
  </si>
  <si>
    <t>이월금</t>
  </si>
  <si>
    <t>(단위:  원)</t>
  </si>
  <si>
    <t>과목</t>
  </si>
  <si>
    <t>산출근거</t>
  </si>
  <si>
    <t>관</t>
  </si>
  <si>
    <t>항</t>
  </si>
  <si>
    <t>목</t>
  </si>
  <si>
    <t>소  계</t>
  </si>
  <si>
    <t>잡수입</t>
  </si>
  <si>
    <t>기타예금
이자수입</t>
  </si>
  <si>
    <t>합  계</t>
  </si>
  <si>
    <t>..</t>
  </si>
  <si>
    <t>예산액</t>
  </si>
  <si>
    <t>기관
운영비</t>
  </si>
  <si>
    <t>회의비</t>
  </si>
  <si>
    <t>여비</t>
  </si>
  <si>
    <t>수용비및
수수료</t>
  </si>
  <si>
    <t>차량비</t>
  </si>
  <si>
    <t>자산
취득비</t>
  </si>
  <si>
    <t>밑반찬
서비스</t>
  </si>
  <si>
    <t>명절떡
나누기</t>
  </si>
  <si>
    <t>김장김치
나누기</t>
  </si>
  <si>
    <t>기타사업비</t>
  </si>
  <si>
    <t>홍보비</t>
  </si>
  <si>
    <t>(단위: 원)</t>
  </si>
  <si>
    <t>기   타
잡수입</t>
  </si>
  <si>
    <t>1. 총괄표</t>
  </si>
  <si>
    <t>비지정
후원금</t>
  </si>
  <si>
    <t>구      분</t>
  </si>
  <si>
    <t>세입</t>
  </si>
  <si>
    <t>잡   수   입</t>
  </si>
  <si>
    <t>세출</t>
  </si>
  <si>
    <t>인   건   비</t>
  </si>
  <si>
    <t>업무추진비</t>
  </si>
  <si>
    <t>시   설   비</t>
  </si>
  <si>
    <t>사   업   비</t>
  </si>
  <si>
    <t>잡   지   출</t>
  </si>
  <si>
    <t>예   비   비</t>
  </si>
  <si>
    <t>후원금
수입</t>
  </si>
  <si>
    <t>직원교육
및간담회</t>
  </si>
  <si>
    <t>지정
후원금</t>
  </si>
  <si>
    <t>크리스마스
선물나누기</t>
  </si>
  <si>
    <t>2. 세 입</t>
  </si>
  <si>
    <t>보조금수입</t>
  </si>
  <si>
    <t>이   월   금</t>
  </si>
  <si>
    <t>후원금수입</t>
  </si>
  <si>
    <t>3. 세 출</t>
  </si>
  <si>
    <t>기타
운영비</t>
  </si>
  <si>
    <t>직책
보조비</t>
  </si>
  <si>
    <t>전입금</t>
  </si>
  <si>
    <t>전입금</t>
  </si>
  <si>
    <t>수입</t>
  </si>
  <si>
    <t>지출</t>
  </si>
  <si>
    <t>`</t>
  </si>
  <si>
    <t>전   입   금</t>
  </si>
  <si>
    <t xml:space="preserve">
사회보험
부담금</t>
  </si>
  <si>
    <t>공공요금 및 각종
세금공과금</t>
  </si>
  <si>
    <t>보조금
수입</t>
  </si>
  <si>
    <t>과 목</t>
  </si>
  <si>
    <t>이용자부담금수입</t>
  </si>
  <si>
    <t>렌탈비용 추가</t>
  </si>
  <si>
    <t>합계</t>
  </si>
  <si>
    <t>소계</t>
  </si>
  <si>
    <t>본인부담금
수입</t>
  </si>
  <si>
    <t xml:space="preserve">                    </t>
  </si>
  <si>
    <t>전년도
이월금</t>
  </si>
  <si>
    <t>전년도
이월금
(후원금)</t>
  </si>
  <si>
    <t>증 - 감</t>
  </si>
  <si>
    <t>구성비</t>
  </si>
  <si>
    <t xml:space="preserve"> </t>
  </si>
  <si>
    <t>.</t>
  </si>
  <si>
    <t>각종수당</t>
  </si>
  <si>
    <t xml:space="preserve">
각종수당
</t>
  </si>
  <si>
    <t>업
무
추
진
비</t>
  </si>
  <si>
    <t>가산금
수입</t>
  </si>
  <si>
    <t>법인
전입금</t>
  </si>
  <si>
    <t>야외나들이</t>
  </si>
  <si>
    <t>기타보조금</t>
  </si>
  <si>
    <t>성안노인복지센터</t>
  </si>
  <si>
    <t>사
무
비</t>
  </si>
  <si>
    <t>인
건
비</t>
  </si>
  <si>
    <t>급  여</t>
  </si>
  <si>
    <t>재
산
조
성
비</t>
  </si>
  <si>
    <t>시
설
비</t>
  </si>
  <si>
    <t>운
영
비</t>
  </si>
  <si>
    <t>사
업
비</t>
  </si>
  <si>
    <t>요양
급여
수입</t>
  </si>
  <si>
    <t>이용
비용
수입</t>
  </si>
  <si>
    <t>장기요양
급여수입</t>
  </si>
  <si>
    <t>시·군·구
보조금</t>
  </si>
  <si>
    <r>
      <t xml:space="preserve"> </t>
    </r>
    <r>
      <rPr>
        <b/>
        <sz val="9"/>
        <color indexed="8"/>
        <rFont val="굴림"/>
        <family val="3"/>
      </rPr>
      <t xml:space="preserve"> 상근요양보호사(방문요양)</t>
    </r>
    <r>
      <rPr>
        <sz val="9"/>
        <color indexed="8"/>
        <rFont val="굴림"/>
        <family val="3"/>
      </rPr>
      <t xml:space="preserve">         
    500,000원x2회x2명=2,000,000원
  </t>
    </r>
    <r>
      <rPr>
        <b/>
        <sz val="9"/>
        <color indexed="8"/>
        <rFont val="굴림"/>
        <family val="3"/>
      </rPr>
      <t>상근요양보호사(방문목욕)</t>
    </r>
    <r>
      <rPr>
        <sz val="9"/>
        <color indexed="8"/>
        <rFont val="굴림"/>
        <family val="3"/>
      </rPr>
      <t xml:space="preserve">         
    500,000원x2회x2명=2,000,000원 </t>
    </r>
  </si>
  <si>
    <r>
      <t xml:space="preserve"> ▪ 가족수당                       480,000원
</t>
    </r>
    <r>
      <rPr>
        <sz val="9"/>
        <color indexed="8"/>
        <rFont val="굴림"/>
        <family val="3"/>
      </rPr>
      <t xml:space="preserve"> 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 20,000원x12개월=240,000원
 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 20,000원x12개월=240,000원</t>
    </r>
  </si>
  <si>
    <t>자원봉사자ㆍ후원자
만남의날</t>
  </si>
  <si>
    <t>사회복지법인
성안복지재단</t>
  </si>
  <si>
    <t>(장기요양)</t>
  </si>
  <si>
    <t>운   영   비</t>
  </si>
  <si>
    <t>요양급여수입</t>
  </si>
  <si>
    <t>이용
부담금수입</t>
  </si>
  <si>
    <t>▪ 목욕관리및 교통지원          2,400,000원
   100,000원x12회x2명=2,400,000원
 ▪ 요양관리및 교통지원         2,400,000원
   100,000원x12회x2명=2,400,000원</t>
  </si>
  <si>
    <t xml:space="preserve">▪ 법인전입금         </t>
  </si>
  <si>
    <t xml:space="preserve"> 1차추가경정예산</t>
  </si>
  <si>
    <t>1차추경예산</t>
  </si>
  <si>
    <t xml:space="preserve">  3,138,300원x10개월 =  31,383,000원</t>
  </si>
  <si>
    <t xml:space="preserve">  3,004,100원x10개월 = 30,041,000원</t>
  </si>
  <si>
    <r>
      <rPr>
        <b/>
        <sz val="9"/>
        <color indexed="8"/>
        <rFont val="굴림"/>
        <family val="3"/>
      </rPr>
      <t>▪ 팀장</t>
    </r>
    <r>
      <rPr>
        <sz val="9"/>
        <color indexed="8"/>
        <rFont val="굴림"/>
        <family val="3"/>
      </rPr>
      <t xml:space="preserve"> </t>
    </r>
    <r>
      <rPr>
        <b/>
        <sz val="9"/>
        <color indexed="8"/>
        <rFont val="굴림"/>
        <family val="3"/>
      </rPr>
      <t>(10호봉)               35,449,000원</t>
    </r>
    <r>
      <rPr>
        <sz val="9"/>
        <color indexed="8"/>
        <rFont val="굴림"/>
        <family val="3"/>
      </rPr>
      <t xml:space="preserve">
  2,704,000원x2개월 = </t>
    </r>
    <r>
      <rPr>
        <sz val="9"/>
        <color indexed="8"/>
        <rFont val="굴림"/>
        <family val="3"/>
      </rPr>
      <t>5,408,000원</t>
    </r>
  </si>
  <si>
    <t xml:space="preserve">  2,236,400원x10개월 = 22,364,000원</t>
  </si>
  <si>
    <t xml:space="preserve">   2,236,400원x10개월 = 22,364,000원</t>
  </si>
  <si>
    <r>
      <t xml:space="preserve">  </t>
    </r>
    <r>
      <rPr>
        <b/>
        <sz val="9"/>
        <color indexed="8"/>
        <rFont val="굴림"/>
        <family val="3"/>
      </rPr>
      <t>사회복지사 1   2,562,240원</t>
    </r>
    <r>
      <rPr>
        <sz val="9"/>
        <color indexed="8"/>
        <rFont val="굴림"/>
        <family val="3"/>
      </rPr>
      <t xml:space="preserve">
     1,220,400원x1회=1,220,400원
     1,341,840원x1회=1,341,840원
  </t>
    </r>
    <r>
      <rPr>
        <b/>
        <sz val="9"/>
        <color indexed="8"/>
        <rFont val="굴림"/>
        <family val="3"/>
      </rPr>
      <t>사회복지사 2   2,562,240원</t>
    </r>
    <r>
      <rPr>
        <sz val="9"/>
        <color indexed="8"/>
        <rFont val="굴림"/>
        <family val="3"/>
      </rPr>
      <t xml:space="preserve">
     1,220,400원x1회=1,220,400원
     1,341,840원x1회=1,341,840원</t>
    </r>
  </si>
  <si>
    <t>▪ 교회후원(박상규) 2,000,000원</t>
  </si>
  <si>
    <t>적립금및준비금</t>
  </si>
  <si>
    <t>운영충당
적립금</t>
  </si>
  <si>
    <t>시설환경
개선준비금</t>
  </si>
  <si>
    <t xml:space="preserve">
운영충당적립금 및 환경개선 준비금</t>
  </si>
  <si>
    <t xml:space="preserve">
적립금
및
준비금</t>
  </si>
  <si>
    <t>▪ 교통통신비                       6,600,000원
  100,000원x2개월x3명=600,000원
  100,000원x10개월x2명=2,000,000원
  200,000원x10개월x2명=4,000,000원</t>
  </si>
  <si>
    <r>
      <t xml:space="preserve"> </t>
    </r>
    <r>
      <rPr>
        <b/>
        <sz val="9"/>
        <color indexed="8"/>
        <rFont val="굴림"/>
        <family val="3"/>
      </rPr>
      <t>사회복지사 2 (7호봉)       26,432,000원</t>
    </r>
    <r>
      <rPr>
        <sz val="9"/>
        <color indexed="8"/>
        <rFont val="굴림"/>
        <family val="3"/>
      </rPr>
      <t xml:space="preserve">
   2,034,000원x2개월 = 4,068,000원</t>
    </r>
  </si>
  <si>
    <t>2차추경예산</t>
  </si>
  <si>
    <t xml:space="preserve">퇴직
연금
</t>
  </si>
  <si>
    <t>▪ 직원 처우개선비           27,470,000원</t>
  </si>
  <si>
    <r>
      <rPr>
        <b/>
        <sz val="9"/>
        <rFont val="굴림"/>
        <family val="3"/>
      </rPr>
      <t xml:space="preserve">  방문요양보호사 </t>
    </r>
    <r>
      <rPr>
        <sz val="9"/>
        <rFont val="굴림"/>
        <family val="3"/>
      </rPr>
      <t xml:space="preserve">
  50,000원x3회x40명=6,000,000원
  50,000원x1회x1명=50,000원</t>
    </r>
  </si>
  <si>
    <r>
      <rPr>
        <b/>
        <sz val="9"/>
        <color indexed="8"/>
        <rFont val="굴림"/>
        <family val="3"/>
      </rPr>
      <t xml:space="preserve"> ▪ 명절수당                   21,887,320원</t>
    </r>
    <r>
      <rPr>
        <sz val="9"/>
        <color indexed="8"/>
        <rFont val="굴림"/>
        <family val="3"/>
      </rPr>
      <t xml:space="preserve">
 </t>
    </r>
    <r>
      <rPr>
        <b/>
        <sz val="9"/>
        <color indexed="8"/>
        <rFont val="굴림"/>
        <family val="3"/>
      </rPr>
      <t xml:space="preserve"> 센터장   3,287,980원        
   </t>
    </r>
    <r>
      <rPr>
        <sz val="9"/>
        <color indexed="8"/>
        <rFont val="굴림"/>
        <family val="3"/>
      </rPr>
      <t xml:space="preserve"> 1,405,000원x1회=1,405,000원
     1,882,980원x1회=1,882,980원
 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   </t>
    </r>
    <r>
      <rPr>
        <b/>
        <sz val="9"/>
        <color indexed="8"/>
        <rFont val="굴림"/>
        <family val="3"/>
      </rPr>
      <t>3,424,860원</t>
    </r>
    <r>
      <rPr>
        <sz val="9"/>
        <color indexed="8"/>
        <rFont val="굴림"/>
        <family val="3"/>
      </rPr>
      <t xml:space="preserve">
     1,622,400원x1회=1,622,400원
     1,802,460원x1회=1,802,460원 </t>
    </r>
    <r>
      <rPr>
        <b/>
        <sz val="9"/>
        <color indexed="8"/>
        <rFont val="굴림"/>
        <family val="3"/>
      </rPr>
      <t xml:space="preserve"> </t>
    </r>
  </si>
  <si>
    <t xml:space="preserve"> 864,027,180원x6.99%*1/2
 = 30,197,750원</t>
  </si>
  <si>
    <t xml:space="preserve"> 391,619,550원x4.5% = 17,622,880원</t>
  </si>
  <si>
    <t xml:space="preserve"> 359,837,140원x 1.05% = 3,778,290원
 372,417,390원x 1.15% = 4,282,800원</t>
  </si>
  <si>
    <t>▪ 요양보호사 포상                 800,000원     
  100,000원x2명x4분기= 800,000원
 ▪ 직원 생일 상품권 구입      1,230,000원
  30,000원x41명=1,230,000원</t>
  </si>
  <si>
    <t xml:space="preserve">▪ 직원 의복 구입(앞치마)    1,250,000원
   (앞치마) 25,000원x50벌=1,250,000원
   </t>
  </si>
  <si>
    <t xml:space="preserve">▪ 자가진단키트구입            1,140,000원
   30,000원x38세트=1,140,000원
   </t>
  </si>
  <si>
    <t>▪ 설명절 선물 나누기            2,500,000원  
  25,000원x100명=2,500,000원
 ▪ 추석명절 선물 나누기         2,500,000원
   25,000원x100명=2,500,000원</t>
  </si>
  <si>
    <t>▪ 송년의 밤 식대      
    44,000원x25명=1,100,000원    
 ▪ 자원봉사자 상품권 구입 
   50,000원x4명=200,000원</t>
  </si>
  <si>
    <t>▪ 직원회의 식대 및 간식     
  10,000원x1분기x37명=370,000원</t>
  </si>
  <si>
    <r>
      <rPr>
        <b/>
        <sz val="9"/>
        <color indexed="8"/>
        <rFont val="굴림"/>
        <family val="3"/>
      </rPr>
      <t xml:space="preserve"> ▪ 장기근속장려금           16,917,720원</t>
    </r>
    <r>
      <rPr>
        <sz val="9"/>
        <color indexed="8"/>
        <rFont val="굴림"/>
        <family val="3"/>
      </rPr>
      <t xml:space="preserve">
  1,409,810원x12개월=16,917,720원</t>
    </r>
  </si>
  <si>
    <t xml:space="preserve"> 2차추가경정예산</t>
  </si>
  <si>
    <t xml:space="preserve"> ▪ 방문요양 등급외 운영비
 8,750,000원x2분기 =17,500,000원
 5,000,000원x2분기 =10,000,000원</t>
  </si>
  <si>
    <r>
      <rPr>
        <b/>
        <sz val="9"/>
        <color indexed="8"/>
        <rFont val="굴림"/>
        <family val="3"/>
      </rPr>
      <t>▪ 직원 처우개선비</t>
    </r>
    <r>
      <rPr>
        <sz val="9"/>
        <color indexed="8"/>
        <rFont val="굴림"/>
        <family val="3"/>
      </rPr>
      <t xml:space="preserve">           27,470,000원
 </t>
    </r>
    <r>
      <rPr>
        <b/>
        <sz val="9"/>
        <color indexed="8"/>
        <rFont val="굴림"/>
        <family val="3"/>
      </rPr>
      <t>센터장</t>
    </r>
    <r>
      <rPr>
        <sz val="9"/>
        <color indexed="8"/>
        <rFont val="굴림"/>
        <family val="3"/>
      </rPr>
      <t xml:space="preserve">
  150,000원x12개월 =1,800,000원
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
  180,000원x12개월x1명=2,160,000원
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170,000원x12개월x2명=4,080,000원</t>
    </r>
  </si>
  <si>
    <r>
      <rPr>
        <b/>
        <sz val="9"/>
        <color indexed="8"/>
        <rFont val="굴림"/>
        <family val="3"/>
      </rPr>
      <t xml:space="preserve"> 상근요양보호사(방문요양)</t>
    </r>
    <r>
      <rPr>
        <sz val="9"/>
        <color indexed="8"/>
        <rFont val="굴림"/>
        <family val="3"/>
      </rPr>
      <t xml:space="preserve">
  200,000원x12개월x1명=2,400,000원
  180,000원x9개월x1명=1,620,000원
  200,000원x3개월x1명=600,000원
 </t>
    </r>
    <r>
      <rPr>
        <b/>
        <sz val="9"/>
        <color indexed="8"/>
        <rFont val="굴림"/>
        <family val="3"/>
      </rPr>
      <t>상근요양보호사(방문목욕)</t>
    </r>
    <r>
      <rPr>
        <sz val="9"/>
        <color indexed="8"/>
        <rFont val="굴림"/>
        <family val="3"/>
      </rPr>
      <t xml:space="preserve">
  200,000원x12개월x1명=2,400,000원
  170,000원x12개월x1명=2,040,000원</t>
    </r>
  </si>
  <si>
    <r>
      <rPr>
        <b/>
        <sz val="9"/>
        <color indexed="8"/>
        <rFont val="굴림"/>
        <family val="3"/>
      </rPr>
      <t xml:space="preserve"> 시간제요양보호사(방문요양)</t>
    </r>
    <r>
      <rPr>
        <sz val="9"/>
        <color indexed="8"/>
        <rFont val="굴림"/>
        <family val="3"/>
      </rPr>
      <t xml:space="preserve">
  170,000원x12개월x5명=10,200,000원
  170,000원x1개월x1명=170,000원</t>
    </r>
  </si>
  <si>
    <r>
      <t xml:space="preserve"> ▪</t>
    </r>
    <r>
      <rPr>
        <b/>
        <sz val="9"/>
        <color indexed="8"/>
        <rFont val="굴림"/>
        <family val="3"/>
      </rPr>
      <t xml:space="preserve"> 요양보호사</t>
    </r>
    <r>
      <rPr>
        <sz val="9"/>
        <color indexed="8"/>
        <rFont val="굴림"/>
        <family val="3"/>
      </rPr>
      <t xml:space="preserve">
 519,085,440원x1/12=43,257,120원</t>
    </r>
  </si>
  <si>
    <t>▪ 크리스마스 선물                   
  40,000원x50명=2,000,000원</t>
  </si>
  <si>
    <r>
      <rPr>
        <b/>
        <sz val="9"/>
        <rFont val="굴림"/>
        <family val="3"/>
      </rPr>
      <t xml:space="preserve">▪ 방문요양: 761,013,340원
 ▪ 방문목욕: 131,222,320원
 ▪ 장기근속: 13,260,000원 </t>
    </r>
    <r>
      <rPr>
        <sz val="9"/>
        <rFont val="굴림"/>
        <family val="3"/>
      </rPr>
      <t xml:space="preserve">                            </t>
    </r>
  </si>
  <si>
    <t>▪ 추가인력가산금(방문요양)
  : 64,309,240원
 ▪ 추가인력가산금(방문목욕)
  : 11,129,140원</t>
  </si>
  <si>
    <t xml:space="preserve"> ▪ 운영충당적립금  73,000,000원</t>
  </si>
  <si>
    <t xml:space="preserve"> ▪ 시설환경개선준비금 3,000,000원</t>
  </si>
  <si>
    <r>
      <rPr>
        <b/>
        <sz val="9"/>
        <rFont val="굴림"/>
        <family val="3"/>
      </rPr>
      <t>▪ 방문 요양보호사          574,123,590원</t>
    </r>
    <r>
      <rPr>
        <sz val="9"/>
        <rFont val="굴림"/>
        <family val="3"/>
      </rPr>
      <t xml:space="preserve">
 (47,843,630원x12개월)+30원=574,123,590원
</t>
    </r>
    <r>
      <rPr>
        <b/>
        <sz val="9"/>
        <rFont val="굴림"/>
        <family val="3"/>
      </rPr>
      <t>▪ 방문요양 등급외 요양보호사</t>
    </r>
    <r>
      <rPr>
        <sz val="9"/>
        <rFont val="굴림"/>
        <family val="3"/>
      </rPr>
      <t xml:space="preserve">
11,000원x103회=</t>
    </r>
    <r>
      <rPr>
        <b/>
        <sz val="9"/>
        <rFont val="굴림"/>
        <family val="3"/>
      </rPr>
      <t>1,133,000원</t>
    </r>
  </si>
  <si>
    <t>▪ 인센티브                           2,400,000원</t>
  </si>
  <si>
    <r>
      <rPr>
        <b/>
        <sz val="9"/>
        <rFont val="굴림"/>
        <family val="3"/>
      </rPr>
      <t>▪ 방문요양</t>
    </r>
    <r>
      <rPr>
        <sz val="9"/>
        <rFont val="굴림"/>
        <family val="3"/>
      </rPr>
      <t xml:space="preserve">
 4,717,100원x12개월-10원=56,605,190원     
</t>
    </r>
    <r>
      <rPr>
        <b/>
        <sz val="9"/>
        <rFont val="굴림"/>
        <family val="3"/>
      </rPr>
      <t xml:space="preserve"> ▪ 방문목욕</t>
    </r>
    <r>
      <rPr>
        <sz val="9"/>
        <rFont val="굴림"/>
        <family val="3"/>
      </rPr>
      <t xml:space="preserve">
 1,015,080원x12개월+20원=12,180,980원</t>
    </r>
  </si>
  <si>
    <r>
      <rPr>
        <b/>
        <sz val="9"/>
        <color indexed="8"/>
        <rFont val="굴림"/>
        <family val="3"/>
      </rPr>
      <t>▪ 상근요양보호사(요양)</t>
    </r>
    <r>
      <rPr>
        <sz val="9"/>
        <color indexed="8"/>
        <rFont val="굴림"/>
        <family val="3"/>
      </rPr>
      <t xml:space="preserve">     </t>
    </r>
    <r>
      <rPr>
        <b/>
        <sz val="9"/>
        <color indexed="8"/>
        <rFont val="굴림"/>
        <family val="3"/>
      </rPr>
      <t xml:space="preserve"> 45,360,000원 </t>
    </r>
    <r>
      <rPr>
        <sz val="9"/>
        <color indexed="8"/>
        <rFont val="굴림"/>
        <family val="3"/>
      </rPr>
      <t xml:space="preserve">             
 1,890,000원x12개월x2명 
  =</t>
    </r>
    <r>
      <rPr>
        <b/>
        <sz val="9"/>
        <color indexed="8"/>
        <rFont val="굴림"/>
        <family val="3"/>
      </rPr>
      <t xml:space="preserve"> 45,360,000원</t>
    </r>
  </si>
  <si>
    <r>
      <rPr>
        <b/>
        <sz val="9"/>
        <color indexed="8"/>
        <rFont val="굴림"/>
        <family val="3"/>
      </rPr>
      <t>▪ 센터장</t>
    </r>
    <r>
      <rPr>
        <sz val="9"/>
        <color indexed="8"/>
        <rFont val="굴림"/>
        <family val="3"/>
      </rPr>
      <t xml:space="preserve">                           </t>
    </r>
    <r>
      <rPr>
        <b/>
        <sz val="9"/>
        <color indexed="8"/>
        <rFont val="굴림"/>
        <family val="3"/>
      </rPr>
      <t xml:space="preserve"> 37,003,000원</t>
    </r>
    <r>
      <rPr>
        <sz val="9"/>
        <color indexed="8"/>
        <rFont val="굴림"/>
        <family val="3"/>
      </rPr>
      <t xml:space="preserve">
  2,810,000원x2개월 =  5,620,000</t>
    </r>
    <r>
      <rPr>
        <sz val="9"/>
        <color indexed="8"/>
        <rFont val="굴림"/>
        <family val="3"/>
      </rPr>
      <t>원</t>
    </r>
  </si>
  <si>
    <r>
      <rPr>
        <b/>
        <sz val="9"/>
        <color indexed="8"/>
        <rFont val="굴림"/>
        <family val="3"/>
      </rPr>
      <t>▪ 사회복지사</t>
    </r>
    <r>
      <rPr>
        <sz val="9"/>
        <color indexed="8"/>
        <rFont val="굴림"/>
        <family val="3"/>
      </rPr>
      <t xml:space="preserve">
 </t>
    </r>
    <r>
      <rPr>
        <b/>
        <sz val="9"/>
        <color indexed="8"/>
        <rFont val="굴림"/>
        <family val="3"/>
      </rPr>
      <t>사회복지사 1 (7호봉)       26,432,000원</t>
    </r>
    <r>
      <rPr>
        <sz val="9"/>
        <color indexed="8"/>
        <rFont val="굴림"/>
        <family val="3"/>
      </rPr>
      <t xml:space="preserve">
  2,034,000원x2개월 = 4,068,00</t>
    </r>
    <r>
      <rPr>
        <sz val="9"/>
        <color indexed="8"/>
        <rFont val="굴림"/>
        <family val="3"/>
      </rPr>
      <t>0원</t>
    </r>
  </si>
  <si>
    <r>
      <rPr>
        <b/>
        <sz val="9"/>
        <rFont val="굴림"/>
        <family val="3"/>
      </rPr>
      <t>▪ 상근요양보호사(목욕)     47,520,000원</t>
    </r>
    <r>
      <rPr>
        <sz val="9"/>
        <rFont val="굴림"/>
        <family val="3"/>
      </rPr>
      <t xml:space="preserve">
</t>
    </r>
    <r>
      <rPr>
        <b/>
        <sz val="9"/>
        <rFont val="굴림"/>
        <family val="3"/>
      </rPr>
      <t xml:space="preserve"> 목욕전담1</t>
    </r>
    <r>
      <rPr>
        <sz val="9"/>
        <rFont val="굴림"/>
        <family val="3"/>
      </rPr>
      <t xml:space="preserve">
  2,050,000원x12개월 = 24,600,000원
 </t>
    </r>
    <r>
      <rPr>
        <b/>
        <sz val="9"/>
        <rFont val="굴림"/>
        <family val="3"/>
      </rPr>
      <t>목욕전담2</t>
    </r>
    <r>
      <rPr>
        <sz val="9"/>
        <rFont val="굴림"/>
        <family val="3"/>
      </rPr>
      <t xml:space="preserve">
  1,910,000원x12개월 = 22,920,000원</t>
    </r>
  </si>
  <si>
    <r>
      <t xml:space="preserve">▪ </t>
    </r>
    <r>
      <rPr>
        <b/>
        <sz val="9"/>
        <rFont val="굴림"/>
        <family val="3"/>
      </rPr>
      <t>특별치매인력가산금</t>
    </r>
    <r>
      <rPr>
        <sz val="9"/>
        <rFont val="굴림"/>
        <family val="3"/>
      </rPr>
      <t xml:space="preserve">        </t>
    </r>
    <r>
      <rPr>
        <b/>
        <sz val="9"/>
        <rFont val="굴림"/>
        <family val="3"/>
      </rPr>
      <t xml:space="preserve">  1,704,960원</t>
    </r>
    <r>
      <rPr>
        <sz val="9"/>
        <rFont val="굴림"/>
        <family val="3"/>
      </rPr>
      <t xml:space="preserve"> </t>
    </r>
  </si>
  <si>
    <r>
      <rPr>
        <b/>
        <sz val="9"/>
        <color indexed="8"/>
        <rFont val="굴림"/>
        <family val="3"/>
      </rPr>
      <t xml:space="preserve"> ▪ 식비                          9,400,000원</t>
    </r>
    <r>
      <rPr>
        <sz val="9"/>
        <color indexed="8"/>
        <rFont val="굴림"/>
        <family val="3"/>
      </rPr>
      <t xml:space="preserve">
  100,000원x12개월x7명=8,400,000원
  100,000원x10개월x1명=1,000,000원</t>
    </r>
  </si>
  <si>
    <t xml:space="preserve"> ▪ 시간외수당                  2,365,140원</t>
  </si>
  <si>
    <t xml:space="preserve"> ▪ 건강보험                   30,197,750원</t>
  </si>
  <si>
    <t xml:space="preserve"> ▪ 국민연금                   17,622,880원</t>
  </si>
  <si>
    <t xml:space="preserve"> ▪ 고용보험                    8,061,090원</t>
  </si>
  <si>
    <r>
      <t xml:space="preserve"> ▪ 산재보험                    4,893,980원
</t>
    </r>
    <r>
      <rPr>
        <sz val="9"/>
        <color indexed="8"/>
        <rFont val="굴림"/>
        <family val="3"/>
      </rPr>
      <t xml:space="preserve"> 761,116,640원x 0.643% =4,893,980원</t>
    </r>
  </si>
  <si>
    <r>
      <t xml:space="preserve">▪ 기관 및 후원자 방문 비용 지출
                                      12,420원
▪ 축하꽃다발비용지출             50,000원
▪ 경조사비                      1,400,000원
  </t>
    </r>
    <r>
      <rPr>
        <sz val="9"/>
        <color indexed="8"/>
        <rFont val="굴림"/>
        <family val="3"/>
      </rPr>
      <t>100,000원x7회=700,000원
   50,000원x14회=700,000원</t>
    </r>
  </si>
  <si>
    <r>
      <t xml:space="preserve">▪ 센터장 직무관련             1,200,000원
 </t>
    </r>
    <r>
      <rPr>
        <sz val="9"/>
        <rFont val="굴림"/>
        <family val="3"/>
      </rPr>
      <t xml:space="preserve"> 300,000원x4분기 = 1,200,000원</t>
    </r>
  </si>
  <si>
    <r>
      <t xml:space="preserve">▪ 운영위원회                     585,000원     
 </t>
    </r>
    <r>
      <rPr>
        <sz val="9"/>
        <rFont val="굴림"/>
        <family val="3"/>
      </rPr>
      <t>146,250원x4분기=585,000원</t>
    </r>
  </si>
  <si>
    <t xml:space="preserve"> ▪ 자동차세                        190,730원
 ▪ 환경개선부담금                  92,920원
 ▪ 협회비                           800,000원
 ▪ 신원보증                           7,680원
 ▪ 기타                              128,000원</t>
  </si>
  <si>
    <t xml:space="preserve"> ▪ 도내 참가비 및 경비            80,000원
 ▪ 직무교육비및 식대           1,118,690원</t>
  </si>
  <si>
    <t>▪ 직원 격려 식대                  1,811,180원
   452,795원x4분기=1,811,180원</t>
  </si>
  <si>
    <t>사
무
비</t>
  </si>
  <si>
    <t>사
무
비</t>
  </si>
  <si>
    <t>기타
운영비</t>
  </si>
  <si>
    <t>운
영
비</t>
  </si>
  <si>
    <t xml:space="preserve"> ▪ 장기요양                    3,705,260원</t>
  </si>
  <si>
    <t xml:space="preserve"> 30,197,750원x12.27%-3원=3,705,260원</t>
  </si>
  <si>
    <t>▪ 홍보비                                0원</t>
  </si>
  <si>
    <t xml:space="preserve"> ▪ 보조금 이자                          1,972원
 ▪ 감사헌금                          2,000,000원                              
 ▪ 대상자방문비용                   187,000원
 ▪ 기타                                  237,000원</t>
  </si>
  <si>
    <r>
      <rPr>
        <b/>
        <sz val="9"/>
        <color indexed="8"/>
        <rFont val="굴림"/>
        <family val="3"/>
      </rPr>
      <t xml:space="preserve"> 센터장</t>
    </r>
    <r>
      <rPr>
        <sz val="9"/>
        <color indexed="8"/>
        <rFont val="굴림"/>
        <family val="3"/>
      </rPr>
      <t xml:space="preserve">
  150,000원x12개월 =1,800,000원
</t>
    </r>
    <r>
      <rPr>
        <b/>
        <sz val="9"/>
        <color indexed="8"/>
        <rFont val="굴림"/>
        <family val="3"/>
      </rPr>
      <t xml:space="preserve"> 팀장</t>
    </r>
    <r>
      <rPr>
        <sz val="9"/>
        <color indexed="8"/>
        <rFont val="굴림"/>
        <family val="3"/>
      </rPr>
      <t xml:space="preserve">
  180,000원x12개월x1명=2,160,000원
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170,000원x12개월x2명=4,080,000원
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200,000원x12개월x1명=2,400,000원
  180,000원x9개월x1명=1,620,000원
  200,000원x3개월x1명=600,000원
 </t>
    </r>
    <r>
      <rPr>
        <b/>
        <sz val="9"/>
        <color indexed="8"/>
        <rFont val="굴림"/>
        <family val="3"/>
      </rPr>
      <t>상근요양보호사(방문목욕</t>
    </r>
    <r>
      <rPr>
        <b/>
        <sz val="9"/>
        <color indexed="8"/>
        <rFont val="굴림"/>
        <family val="3"/>
      </rPr>
      <t>)</t>
    </r>
    <r>
      <rPr>
        <sz val="9"/>
        <color indexed="8"/>
        <rFont val="굴림"/>
        <family val="3"/>
      </rPr>
      <t xml:space="preserve">
  200,000원x12개월x1명=2,400,000원
  170,000원x12개월x1명=2,040,000원
</t>
    </r>
    <r>
      <rPr>
        <b/>
        <sz val="9"/>
        <color indexed="8"/>
        <rFont val="굴림"/>
        <family val="3"/>
      </rPr>
      <t xml:space="preserve">시간제요양보호사                </t>
    </r>
    <r>
      <rPr>
        <sz val="9"/>
        <color indexed="8"/>
        <rFont val="굴림"/>
        <family val="3"/>
      </rPr>
      <t xml:space="preserve">
  170,000원x12개월x5명=10,200,000원
  170,000원x1개월x명=170,000원</t>
    </r>
  </si>
  <si>
    <r>
      <rPr>
        <b/>
        <sz val="9"/>
        <rFont val="굴림"/>
        <family val="3"/>
      </rPr>
      <t>▪ 차량유류대</t>
    </r>
    <r>
      <rPr>
        <sz val="9"/>
        <rFont val="굴림"/>
        <family val="3"/>
      </rPr>
      <t xml:space="preserve">                 </t>
    </r>
    <r>
      <rPr>
        <b/>
        <sz val="9"/>
        <rFont val="굴림"/>
        <family val="3"/>
      </rPr>
      <t xml:space="preserve">     9,733,867원</t>
    </r>
    <r>
      <rPr>
        <sz val="9"/>
        <rFont val="굴림"/>
        <family val="3"/>
      </rPr>
      <t xml:space="preserve">     </t>
    </r>
    <r>
      <rPr>
        <b/>
        <sz val="9"/>
        <rFont val="굴림"/>
        <family val="3"/>
      </rPr>
      <t xml:space="preserve">     </t>
    </r>
    <r>
      <rPr>
        <sz val="9"/>
        <rFont val="굴림"/>
        <family val="3"/>
      </rPr>
      <t xml:space="preserve">
  811,150원x12개월+67원=9,733,867원
 ▪ 차량정비                        3,822,600원
 </t>
    </r>
  </si>
  <si>
    <r>
      <t xml:space="preserve"> ▪ </t>
    </r>
    <r>
      <rPr>
        <b/>
        <sz val="9"/>
        <color indexed="8"/>
        <rFont val="굴림"/>
        <family val="3"/>
      </rPr>
      <t xml:space="preserve">상근직                                 </t>
    </r>
    <r>
      <rPr>
        <sz val="9"/>
        <color indexed="8"/>
        <rFont val="굴림"/>
        <family val="3"/>
      </rPr>
      <t xml:space="preserve">
 253,752,120원x1/12=21,146,010원</t>
    </r>
  </si>
  <si>
    <t>▪ 성안신협                    3,000,000원 
▪ 서문성당                       400,005원
▪ 씨앗교회                       200,000원
▪ BYC김동운                    420,000원
▪ 기타(김*은외11명)         2,720,000원</t>
  </si>
  <si>
    <r>
      <t xml:space="preserve">▪ </t>
    </r>
    <r>
      <rPr>
        <b/>
        <sz val="9"/>
        <rFont val="굴림"/>
        <family val="3"/>
      </rPr>
      <t>요양보호사 복리후생비 지출</t>
    </r>
    <r>
      <rPr>
        <sz val="9"/>
        <rFont val="굴림"/>
        <family val="3"/>
      </rPr>
      <t xml:space="preserve">     
  150,000원x24명= </t>
    </r>
    <r>
      <rPr>
        <b/>
        <sz val="9"/>
        <rFont val="굴림"/>
        <family val="3"/>
      </rPr>
      <t xml:space="preserve">3,600,000원  </t>
    </r>
    <r>
      <rPr>
        <sz val="9"/>
        <rFont val="굴림"/>
        <family val="3"/>
      </rPr>
      <t xml:space="preserve">
 ▪ 직원 워크샵 비용  </t>
    </r>
    <r>
      <rPr>
        <b/>
        <sz val="9"/>
        <rFont val="굴림"/>
        <family val="3"/>
      </rPr>
      <t>400,000원</t>
    </r>
  </si>
  <si>
    <t>▪ 야외나들이                             
  78,000원x1회=78,000원</t>
  </si>
  <si>
    <t>▪ 김장김치 나누기                           0원</t>
  </si>
  <si>
    <t>▪ 설명절상품권구입(자원봉사자) 300,000원</t>
  </si>
  <si>
    <t>▪ 컴퓨터및 사무용품 구입       4,420,000원
 ▪ 목욕차량 욕조구입              4,500,000원
 ▪ 기타(차량계약금)                  100,000원</t>
  </si>
  <si>
    <t xml:space="preserve"> ▪ 목욕물품                      1,785,020원
 ▪ 수수료                           375,400원
 ▪ 인쇄비                           450,000원
 ▪ 사무용품                      1,634,040원
 ▪ 복합기임대료                 1,800,000원
 ▪ 자가키트(사무실-목욕)       400,000원
 ▪ 네트워크설치비용              674,800원</t>
  </si>
  <si>
    <t>▪ 장기요양대상자 방문              118,700원
 ▪ 독거어르신 지원                    998,820원
 ▪ 지정후원 (박상규어르신)      2,450,000원
 ▪ 상하수도료지출                    135,030원</t>
  </si>
  <si>
    <t xml:space="preserve"> ▪ 식재료 전달                     7,541,430원             
  15,710원x12개월x40명+630원
  =7,541,430원
 ▪ 간식키트(등급외어르신)        208,580원
  5,790원x4개월x9명+140원=208,580원</t>
  </si>
  <si>
    <t xml:space="preserve"> ▪ 기타예금이자                1,181,893원</t>
  </si>
  <si>
    <t>▪ 현대카드리워드(캐쉬백)       191,269원</t>
  </si>
  <si>
    <t>▪ 통신요금                       665,400원
 ▪ 보험료                        4,283,600원
 ▪ 우편요금                        423,140원</t>
  </si>
  <si>
    <t>성안노인복지센터 2022년도 2차 추가경정 예산서</t>
  </si>
  <si>
    <r>
      <t>2022년 제2차 세입</t>
    </r>
    <r>
      <rPr>
        <b/>
        <sz val="22"/>
        <rFont val="Calibri"/>
        <family val="2"/>
      </rPr>
      <t>·</t>
    </r>
    <r>
      <rPr>
        <b/>
        <sz val="22"/>
        <rFont val="휴먼엑스포"/>
        <family val="1"/>
      </rPr>
      <t>세출 추가경정예산서</t>
    </r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</si>
</sst>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0.000%"/>
    <numFmt numFmtId="192" formatCode="_-* #,##0.0_-;\-* #,##0.0_-;_-* &quot;-&quot;?_-;_-@_-"/>
    <numFmt numFmtId="193" formatCode="#,##0_ "/>
    <numFmt numFmtId="194" formatCode="#&quot;△&quot;#"/>
    <numFmt numFmtId="195" formatCode="#,##0_);[Red]\(#,##0\)"/>
    <numFmt numFmtId="196" formatCode="_-* #,##0.0000_-;\-* #,##0.0000_-;_-* &quot;-&quot;????_-;_-@_-"/>
    <numFmt numFmtId="197" formatCode="_-* #,##0.000000000_-;\-* #,##0.000000000_-;_-* &quot;-&quot;?????????_-;_-@_-"/>
    <numFmt numFmtId="198" formatCode="[$-412]yyyy&quot;년 &quot;m&quot;월 &quot;d&quot;일 &quot;dddd"/>
    <numFmt numFmtId="199" formatCode="[$-412]AM/PM\ h:mm:ss"/>
    <numFmt numFmtId="200" formatCode="0_);[Red]\(0\)"/>
    <numFmt numFmtId="201" formatCode="[$-412]yyyy&quot;년&quot;\ m&quot;월&quot;\ d&quot;일&quot;\ dddd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_ "/>
    <numFmt numFmtId="206" formatCode="0.0_);[Red]\(0.0\)"/>
    <numFmt numFmtId="207" formatCode="0.00_);[Red]\(0.00\)"/>
    <numFmt numFmtId="208" formatCode="[Black]\△#,##0;[Black]\▽#,##0"/>
    <numFmt numFmtId="209" formatCode="[Black]\△#,##0;"/>
    <numFmt numFmtId="210" formatCode="[Black]\△#,##0;[Black]\△#,##0"/>
    <numFmt numFmtId="211" formatCode="000\-000"/>
    <numFmt numFmtId="212" formatCode="#,##0_);\(#,##0\)"/>
  </numFmts>
  <fonts count="70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굴림"/>
      <family val="3"/>
    </font>
    <font>
      <sz val="10"/>
      <name val="굴림"/>
      <family val="3"/>
    </font>
    <font>
      <sz val="10"/>
      <name val="돋움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8"/>
      <name val="굴림"/>
      <family val="3"/>
    </font>
    <font>
      <b/>
      <sz val="11"/>
      <name val="돋움"/>
      <family val="3"/>
    </font>
    <font>
      <sz val="8"/>
      <name val="굴림"/>
      <family val="3"/>
    </font>
    <font>
      <b/>
      <sz val="11"/>
      <name val="굴림"/>
      <family val="3"/>
    </font>
    <font>
      <b/>
      <u val="singleAccounting"/>
      <sz val="11"/>
      <name val="돋움"/>
      <family val="3"/>
    </font>
    <font>
      <b/>
      <sz val="12"/>
      <name val="돋움"/>
      <family val="3"/>
    </font>
    <font>
      <b/>
      <sz val="15"/>
      <name val="굴림"/>
      <family val="3"/>
    </font>
    <font>
      <sz val="15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b/>
      <sz val="20"/>
      <name val="굴림"/>
      <family val="3"/>
    </font>
    <font>
      <b/>
      <sz val="36"/>
      <name val="휴먼엑스포"/>
      <family val="1"/>
    </font>
    <font>
      <b/>
      <sz val="24"/>
      <name val="굴림"/>
      <family val="3"/>
    </font>
    <font>
      <b/>
      <sz val="10"/>
      <name val="돋움"/>
      <family val="3"/>
    </font>
    <font>
      <sz val="12"/>
      <name val="돋움"/>
      <family val="3"/>
    </font>
    <font>
      <b/>
      <sz val="13"/>
      <name val="돋움"/>
      <family val="3"/>
    </font>
    <font>
      <b/>
      <sz val="25"/>
      <name val="돋움"/>
      <family val="3"/>
    </font>
    <font>
      <b/>
      <sz val="25"/>
      <name val="휴먼엑스포"/>
      <family val="1"/>
    </font>
    <font>
      <b/>
      <sz val="22"/>
      <name val="휴먼엑스포"/>
      <family val="1"/>
    </font>
    <font>
      <b/>
      <sz val="22"/>
      <name val="Calibri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00"/>
      <name val="굴림"/>
      <family val="3"/>
    </font>
    <font>
      <sz val="9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1" fontId="6" fillId="0" borderId="10" xfId="48" applyFont="1" applyBorder="1" applyAlignment="1">
      <alignment vertical="center"/>
    </xf>
    <xf numFmtId="41" fontId="6" fillId="0" borderId="11" xfId="48" applyFont="1" applyBorder="1" applyAlignment="1">
      <alignment vertical="center"/>
    </xf>
    <xf numFmtId="41" fontId="6" fillId="0" borderId="12" xfId="48" applyFont="1" applyBorder="1" applyAlignment="1">
      <alignment vertical="center"/>
    </xf>
    <xf numFmtId="41" fontId="8" fillId="0" borderId="13" xfId="48" applyFont="1" applyBorder="1" applyAlignment="1">
      <alignment vertical="center"/>
    </xf>
    <xf numFmtId="0" fontId="6" fillId="0" borderId="0" xfId="0" applyFont="1" applyAlignment="1">
      <alignment vertical="center"/>
    </xf>
    <xf numFmtId="41" fontId="8" fillId="0" borderId="14" xfId="48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2" fillId="0" borderId="22" xfId="48" applyFont="1" applyFill="1" applyBorder="1" applyAlignment="1">
      <alignment horizontal="left" vertical="center" wrapText="1"/>
    </xf>
    <xf numFmtId="41" fontId="6" fillId="0" borderId="13" xfId="48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1" fontId="12" fillId="0" borderId="26" xfId="48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6" fillId="0" borderId="0" xfId="48" applyFont="1" applyBorder="1" applyAlignment="1">
      <alignment vertical="center"/>
    </xf>
    <xf numFmtId="41" fontId="16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9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justify" vertical="center"/>
    </xf>
    <xf numFmtId="0" fontId="12" fillId="0" borderId="19" xfId="0" applyFont="1" applyFill="1" applyBorder="1" applyAlignment="1">
      <alignment horizontal="center" vertical="center" wrapText="1"/>
    </xf>
    <xf numFmtId="41" fontId="6" fillId="0" borderId="0" xfId="0" applyNumberFormat="1" applyFont="1" applyAlignment="1">
      <alignment vertical="center"/>
    </xf>
    <xf numFmtId="0" fontId="6" fillId="0" borderId="21" xfId="0" applyFont="1" applyBorder="1" applyAlignment="1">
      <alignment vertical="center"/>
    </xf>
    <xf numFmtId="41" fontId="6" fillId="0" borderId="31" xfId="48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41" fontId="17" fillId="0" borderId="0" xfId="0" applyNumberFormat="1" applyFont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Border="1" applyAlignment="1">
      <alignment vertical="center"/>
    </xf>
    <xf numFmtId="195" fontId="6" fillId="0" borderId="32" xfId="48" applyNumberFormat="1" applyFont="1" applyFill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7" fillId="0" borderId="0" xfId="0" applyNumberFormat="1" applyFont="1" applyFill="1" applyAlignment="1">
      <alignment vertical="center"/>
    </xf>
    <xf numFmtId="195" fontId="0" fillId="0" borderId="0" xfId="0" applyNumberFormat="1" applyFill="1" applyBorder="1" applyAlignment="1">
      <alignment vertical="center"/>
    </xf>
    <xf numFmtId="195" fontId="6" fillId="0" borderId="0" xfId="0" applyNumberFormat="1" applyFont="1" applyAlignment="1">
      <alignment vertical="center"/>
    </xf>
    <xf numFmtId="41" fontId="8" fillId="0" borderId="33" xfId="48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18" fillId="0" borderId="34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90" fontId="17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194" fontId="23" fillId="0" borderId="0" xfId="0" applyNumberFormat="1" applyFont="1" applyBorder="1" applyAlignment="1">
      <alignment horizontal="center" vertical="center"/>
    </xf>
    <xf numFmtId="41" fontId="21" fillId="0" borderId="0" xfId="48" applyFont="1" applyFill="1" applyBorder="1" applyAlignment="1">
      <alignment horizontal="right" vertical="center"/>
    </xf>
    <xf numFmtId="41" fontId="16" fillId="0" borderId="37" xfId="48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0" xfId="48" applyFont="1" applyFill="1" applyBorder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41" fontId="6" fillId="0" borderId="0" xfId="48" applyFont="1" applyFill="1" applyBorder="1" applyAlignment="1">
      <alignment horizontal="left" vertical="center" wrapText="1"/>
    </xf>
    <xf numFmtId="41" fontId="6" fillId="0" borderId="0" xfId="48" applyNumberFormat="1" applyFont="1" applyFill="1" applyBorder="1" applyAlignment="1">
      <alignment horizontal="left" vertical="center" wrapText="1"/>
    </xf>
    <xf numFmtId="41" fontId="6" fillId="0" borderId="11" xfId="48" applyFont="1" applyBorder="1" applyAlignment="1">
      <alignment vertical="center"/>
    </xf>
    <xf numFmtId="41" fontId="8" fillId="0" borderId="11" xfId="48" applyFont="1" applyBorder="1" applyAlignment="1">
      <alignment vertical="center"/>
    </xf>
    <xf numFmtId="193" fontId="6" fillId="0" borderId="12" xfId="48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6" fillId="0" borderId="38" xfId="48" applyFont="1" applyBorder="1" applyAlignment="1">
      <alignment vertical="center"/>
    </xf>
    <xf numFmtId="41" fontId="12" fillId="0" borderId="39" xfId="48" applyFont="1" applyFill="1" applyBorder="1" applyAlignment="1">
      <alignment horizontal="left" vertical="center" wrapText="1"/>
    </xf>
    <xf numFmtId="41" fontId="7" fillId="0" borderId="40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41" fontId="6" fillId="0" borderId="0" xfId="48" applyFont="1" applyAlignment="1">
      <alignment vertical="center"/>
    </xf>
    <xf numFmtId="41" fontId="12" fillId="0" borderId="41" xfId="48" applyFont="1" applyFill="1" applyBorder="1" applyAlignment="1">
      <alignment horizontal="left" vertical="center" wrapText="1"/>
    </xf>
    <xf numFmtId="41" fontId="12" fillId="0" borderId="20" xfId="48" applyFont="1" applyFill="1" applyBorder="1" applyAlignment="1">
      <alignment horizontal="left" vertical="center" wrapText="1"/>
    </xf>
    <xf numFmtId="41" fontId="0" fillId="0" borderId="0" xfId="48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41" fontId="6" fillId="0" borderId="43" xfId="48" applyFont="1" applyBorder="1" applyAlignment="1">
      <alignment vertical="center"/>
    </xf>
    <xf numFmtId="41" fontId="0" fillId="0" borderId="0" xfId="0" applyNumberFormat="1" applyAlignment="1" quotePrefix="1">
      <alignment vertical="center"/>
    </xf>
    <xf numFmtId="0" fontId="6" fillId="0" borderId="21" xfId="0" applyFont="1" applyBorder="1" applyAlignment="1">
      <alignment horizontal="center" vertical="top" wrapText="1"/>
    </xf>
    <xf numFmtId="41" fontId="6" fillId="0" borderId="13" xfId="48" applyFont="1" applyBorder="1" applyAlignment="1">
      <alignment vertical="center"/>
    </xf>
    <xf numFmtId="41" fontId="6" fillId="0" borderId="11" xfId="48" applyFont="1" applyBorder="1" applyAlignment="1">
      <alignment horizontal="center" vertical="center"/>
    </xf>
    <xf numFmtId="41" fontId="12" fillId="0" borderId="17" xfId="48" applyFont="1" applyFill="1" applyBorder="1" applyAlignment="1">
      <alignment horizontal="left" vertical="center" wrapText="1"/>
    </xf>
    <xf numFmtId="41" fontId="6" fillId="0" borderId="35" xfId="48" applyFont="1" applyBorder="1" applyAlignment="1">
      <alignment vertical="center"/>
    </xf>
    <xf numFmtId="41" fontId="12" fillId="0" borderId="44" xfId="48" applyFont="1" applyFill="1" applyBorder="1" applyAlignment="1">
      <alignment horizontal="left" vertical="center" wrapText="1"/>
    </xf>
    <xf numFmtId="41" fontId="7" fillId="0" borderId="0" xfId="0" applyNumberFormat="1" applyFont="1" applyBorder="1" applyAlignment="1">
      <alignment vertical="center"/>
    </xf>
    <xf numFmtId="41" fontId="12" fillId="0" borderId="16" xfId="48" applyFont="1" applyFill="1" applyBorder="1" applyAlignment="1">
      <alignment horizontal="left" vertical="center" wrapText="1"/>
    </xf>
    <xf numFmtId="193" fontId="6" fillId="0" borderId="11" xfId="48" applyNumberFormat="1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93" fontId="6" fillId="0" borderId="46" xfId="48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1" fontId="6" fillId="0" borderId="47" xfId="48" applyFont="1" applyBorder="1" applyAlignment="1">
      <alignment vertical="center"/>
    </xf>
    <xf numFmtId="41" fontId="6" fillId="0" borderId="48" xfId="48" applyFont="1" applyBorder="1" applyAlignment="1">
      <alignment vertical="center"/>
    </xf>
    <xf numFmtId="41" fontId="6" fillId="0" borderId="38" xfId="48" applyFont="1" applyBorder="1" applyAlignment="1">
      <alignment horizontal="center" vertical="center"/>
    </xf>
    <xf numFmtId="41" fontId="6" fillId="0" borderId="49" xfId="48" applyFont="1" applyBorder="1" applyAlignment="1">
      <alignment vertic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0" borderId="50" xfId="48" applyFont="1" applyFill="1" applyBorder="1" applyAlignment="1">
      <alignment horizontal="left" vertical="center"/>
    </xf>
    <xf numFmtId="41" fontId="12" fillId="0" borderId="25" xfId="48" applyFont="1" applyFill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41" fontId="12" fillId="0" borderId="50" xfId="48" applyFont="1" applyFill="1" applyBorder="1" applyAlignment="1">
      <alignment horizontal="left" vertical="center" wrapText="1"/>
    </xf>
    <xf numFmtId="41" fontId="6" fillId="0" borderId="51" xfId="48" applyFont="1" applyBorder="1" applyAlignment="1">
      <alignment vertical="center"/>
    </xf>
    <xf numFmtId="41" fontId="6" fillId="0" borderId="38" xfId="48" applyFont="1" applyBorder="1" applyAlignment="1">
      <alignment vertical="center"/>
    </xf>
    <xf numFmtId="41" fontId="7" fillId="0" borderId="0" xfId="48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95" fontId="6" fillId="0" borderId="37" xfId="48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1" fontId="12" fillId="0" borderId="41" xfId="48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95" fontId="8" fillId="0" borderId="52" xfId="48" applyNumberFormat="1" applyFont="1" applyFill="1" applyBorder="1" applyAlignment="1">
      <alignment vertical="center"/>
    </xf>
    <xf numFmtId="195" fontId="8" fillId="0" borderId="37" xfId="48" applyNumberFormat="1" applyFont="1" applyFill="1" applyBorder="1" applyAlignment="1">
      <alignment vertical="center"/>
    </xf>
    <xf numFmtId="195" fontId="6" fillId="0" borderId="10" xfId="48" applyNumberFormat="1" applyFont="1" applyFill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195" fontId="6" fillId="0" borderId="11" xfId="48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95" fontId="6" fillId="0" borderId="11" xfId="48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95" fontId="6" fillId="0" borderId="53" xfId="48" applyNumberFormat="1" applyFont="1" applyFill="1" applyBorder="1" applyAlignment="1">
      <alignment vertical="center"/>
    </xf>
    <xf numFmtId="195" fontId="8" fillId="0" borderId="14" xfId="48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vertical="center"/>
    </xf>
    <xf numFmtId="49" fontId="6" fillId="0" borderId="13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horizontal="center" vertical="center"/>
    </xf>
    <xf numFmtId="49" fontId="6" fillId="0" borderId="11" xfId="48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justify" vertical="center" wrapText="1"/>
    </xf>
    <xf numFmtId="49" fontId="7" fillId="0" borderId="34" xfId="0" applyNumberFormat="1" applyFont="1" applyBorder="1" applyAlignment="1">
      <alignment vertical="center"/>
    </xf>
    <xf numFmtId="41" fontId="6" fillId="0" borderId="54" xfId="48" applyFont="1" applyBorder="1" applyAlignment="1">
      <alignment vertical="center"/>
    </xf>
    <xf numFmtId="41" fontId="7" fillId="0" borderId="55" xfId="0" applyNumberFormat="1" applyFont="1" applyBorder="1" applyAlignment="1">
      <alignment vertical="center"/>
    </xf>
    <xf numFmtId="41" fontId="7" fillId="0" borderId="56" xfId="0" applyNumberFormat="1" applyFont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41" fontId="6" fillId="0" borderId="57" xfId="0" applyNumberFormat="1" applyFont="1" applyBorder="1" applyAlignment="1">
      <alignment horizontal="center" vertical="center" wrapText="1"/>
    </xf>
    <xf numFmtId="195" fontId="6" fillId="0" borderId="58" xfId="48" applyNumberFormat="1" applyFont="1" applyFill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 wrapText="1"/>
    </xf>
    <xf numFmtId="41" fontId="6" fillId="0" borderId="12" xfId="48" applyFont="1" applyBorder="1" applyAlignment="1">
      <alignment horizontal="right" vertical="center"/>
    </xf>
    <xf numFmtId="41" fontId="6" fillId="0" borderId="46" xfId="48" applyFont="1" applyBorder="1" applyAlignment="1">
      <alignment vertical="center"/>
    </xf>
    <xf numFmtId="0" fontId="10" fillId="0" borderId="59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6" fillId="0" borderId="12" xfId="48" applyNumberFormat="1" applyFont="1" applyBorder="1" applyAlignment="1">
      <alignment vertical="center"/>
    </xf>
    <xf numFmtId="0" fontId="10" fillId="0" borderId="5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9" fontId="68" fillId="0" borderId="17" xfId="0" applyNumberFormat="1" applyFont="1" applyBorder="1" applyAlignment="1">
      <alignment horizontal="justify" vertical="center" wrapText="1"/>
    </xf>
    <xf numFmtId="195" fontId="8" fillId="0" borderId="62" xfId="0" applyNumberFormat="1" applyFont="1" applyBorder="1" applyAlignment="1">
      <alignment horizontal="right" vertical="center" wrapText="1"/>
    </xf>
    <xf numFmtId="195" fontId="8" fillId="0" borderId="14" xfId="0" applyNumberFormat="1" applyFont="1" applyBorder="1" applyAlignment="1">
      <alignment horizontal="right" vertical="center" wrapText="1"/>
    </xf>
    <xf numFmtId="41" fontId="28" fillId="0" borderId="12" xfId="48" applyFont="1" applyBorder="1" applyAlignment="1">
      <alignment horizontal="right" vertical="center"/>
    </xf>
    <xf numFmtId="190" fontId="28" fillId="0" borderId="12" xfId="48" applyNumberFormat="1" applyFont="1" applyBorder="1" applyAlignment="1">
      <alignment vertical="center"/>
    </xf>
    <xf numFmtId="41" fontId="28" fillId="0" borderId="12" xfId="48" applyFont="1" applyBorder="1" applyAlignment="1">
      <alignment vertical="center"/>
    </xf>
    <xf numFmtId="41" fontId="28" fillId="0" borderId="10" xfId="48" applyFont="1" applyBorder="1" applyAlignment="1">
      <alignment horizontal="right" vertical="center"/>
    </xf>
    <xf numFmtId="190" fontId="28" fillId="0" borderId="10" xfId="48" applyNumberFormat="1" applyFont="1" applyBorder="1" applyAlignment="1">
      <alignment vertical="center"/>
    </xf>
    <xf numFmtId="41" fontId="28" fillId="0" borderId="10" xfId="48" applyFont="1" applyBorder="1" applyAlignment="1">
      <alignment vertical="center"/>
    </xf>
    <xf numFmtId="41" fontId="28" fillId="0" borderId="10" xfId="48" applyFont="1" applyBorder="1" applyAlignment="1">
      <alignment horizontal="right" vertical="center" wrapText="1"/>
    </xf>
    <xf numFmtId="193" fontId="28" fillId="0" borderId="10" xfId="48" applyNumberFormat="1" applyFont="1" applyFill="1" applyBorder="1" applyAlignment="1">
      <alignment vertical="center"/>
    </xf>
    <xf numFmtId="190" fontId="28" fillId="0" borderId="10" xfId="48" applyNumberFormat="1" applyFont="1" applyFill="1" applyBorder="1" applyAlignment="1">
      <alignment vertical="center"/>
    </xf>
    <xf numFmtId="41" fontId="28" fillId="0" borderId="12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41" fontId="28" fillId="0" borderId="10" xfId="48" applyFont="1" applyBorder="1" applyAlignment="1">
      <alignment horizontal="center" vertical="center"/>
    </xf>
    <xf numFmtId="190" fontId="28" fillId="0" borderId="10" xfId="43" applyNumberFormat="1" applyFont="1" applyBorder="1" applyAlignment="1">
      <alignment vertical="center"/>
    </xf>
    <xf numFmtId="41" fontId="28" fillId="0" borderId="46" xfId="0" applyNumberFormat="1" applyFont="1" applyBorder="1" applyAlignment="1">
      <alignment horizontal="center" vertical="center"/>
    </xf>
    <xf numFmtId="190" fontId="28" fillId="0" borderId="46" xfId="48" applyNumberFormat="1" applyFont="1" applyBorder="1" applyAlignment="1">
      <alignment vertical="center"/>
    </xf>
    <xf numFmtId="41" fontId="28" fillId="0" borderId="46" xfId="48" applyFont="1" applyBorder="1" applyAlignment="1">
      <alignment vertical="center"/>
    </xf>
    <xf numFmtId="190" fontId="28" fillId="0" borderId="46" xfId="43" applyNumberFormat="1" applyFont="1" applyBorder="1" applyAlignment="1">
      <alignment vertical="center"/>
    </xf>
    <xf numFmtId="200" fontId="28" fillId="0" borderId="10" xfId="48" applyNumberFormat="1" applyFont="1" applyBorder="1" applyAlignment="1">
      <alignment horizontal="right" vertical="center" wrapText="1"/>
    </xf>
    <xf numFmtId="41" fontId="6" fillId="0" borderId="11" xfId="48" applyFont="1" applyFill="1" applyBorder="1" applyAlignment="1">
      <alignment horizontal="right" vertical="center"/>
    </xf>
    <xf numFmtId="41" fontId="6" fillId="0" borderId="38" xfId="48" applyFont="1" applyFill="1" applyBorder="1" applyAlignment="1">
      <alignment horizontal="right" vertical="center"/>
    </xf>
    <xf numFmtId="0" fontId="69" fillId="0" borderId="17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200" fontId="6" fillId="0" borderId="38" xfId="48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1" xfId="48" applyFont="1" applyBorder="1" applyAlignment="1">
      <alignment horizontal="right" vertical="center"/>
    </xf>
    <xf numFmtId="41" fontId="8" fillId="0" borderId="37" xfId="0" applyNumberFormat="1" applyFont="1" applyBorder="1" applyAlignment="1">
      <alignment vertical="center"/>
    </xf>
    <xf numFmtId="193" fontId="8" fillId="0" borderId="14" xfId="0" applyNumberFormat="1" applyFont="1" applyBorder="1" applyAlignment="1">
      <alignment vertical="center"/>
    </xf>
    <xf numFmtId="200" fontId="8" fillId="0" borderId="14" xfId="48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 wrapText="1"/>
    </xf>
    <xf numFmtId="41" fontId="6" fillId="0" borderId="11" xfId="48" applyFont="1" applyFill="1" applyBorder="1" applyAlignment="1">
      <alignment horizontal="center" vertical="center" wrapText="1"/>
    </xf>
    <xf numFmtId="41" fontId="6" fillId="0" borderId="0" xfId="48" applyFont="1" applyFill="1" applyBorder="1" applyAlignment="1">
      <alignment horizontal="right" vertical="center"/>
    </xf>
    <xf numFmtId="41" fontId="6" fillId="0" borderId="63" xfId="48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16" xfId="48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41" fontId="6" fillId="0" borderId="64" xfId="48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41" fontId="18" fillId="0" borderId="57" xfId="48" applyFont="1" applyBorder="1" applyAlignment="1">
      <alignment horizontal="right" vertical="center"/>
    </xf>
    <xf numFmtId="9" fontId="28" fillId="0" borderId="57" xfId="43" applyFont="1" applyBorder="1" applyAlignment="1">
      <alignment vertical="center"/>
    </xf>
    <xf numFmtId="41" fontId="18" fillId="0" borderId="57" xfId="48" applyFont="1" applyBorder="1" applyAlignment="1">
      <alignment vertical="center"/>
    </xf>
    <xf numFmtId="0" fontId="22" fillId="0" borderId="64" xfId="0" applyFont="1" applyBorder="1" applyAlignment="1">
      <alignment horizontal="center" vertical="center" wrapText="1"/>
    </xf>
    <xf numFmtId="41" fontId="28" fillId="0" borderId="64" xfId="48" applyFont="1" applyBorder="1" applyAlignment="1">
      <alignment horizontal="right" vertical="center" wrapText="1"/>
    </xf>
    <xf numFmtId="190" fontId="28" fillId="0" borderId="64" xfId="48" applyNumberFormat="1" applyFont="1" applyBorder="1" applyAlignment="1">
      <alignment vertical="center"/>
    </xf>
    <xf numFmtId="41" fontId="28" fillId="0" borderId="64" xfId="48" applyFont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200" fontId="6" fillId="0" borderId="11" xfId="48" applyNumberFormat="1" applyFont="1" applyFill="1" applyBorder="1" applyAlignment="1">
      <alignment horizontal="right" vertical="center"/>
    </xf>
    <xf numFmtId="0" fontId="22" fillId="0" borderId="49" xfId="0" applyFont="1" applyBorder="1" applyAlignment="1">
      <alignment horizontal="center" vertical="center"/>
    </xf>
    <xf numFmtId="41" fontId="28" fillId="0" borderId="49" xfId="48" applyFont="1" applyBorder="1" applyAlignment="1">
      <alignment horizontal="right" vertical="center"/>
    </xf>
    <xf numFmtId="190" fontId="28" fillId="0" borderId="49" xfId="48" applyNumberFormat="1" applyFont="1" applyBorder="1" applyAlignment="1">
      <alignment vertical="center"/>
    </xf>
    <xf numFmtId="41" fontId="28" fillId="0" borderId="49" xfId="48" applyFont="1" applyBorder="1" applyAlignment="1">
      <alignment vertical="center"/>
    </xf>
    <xf numFmtId="0" fontId="6" fillId="0" borderId="39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195" fontId="6" fillId="0" borderId="52" xfId="48" applyNumberFormat="1" applyFont="1" applyFill="1" applyBorder="1" applyAlignment="1">
      <alignment vertical="center"/>
    </xf>
    <xf numFmtId="41" fontId="12" fillId="0" borderId="36" xfId="48" applyFont="1" applyFill="1" applyBorder="1" applyAlignment="1">
      <alignment horizontal="left" vertical="center" wrapText="1"/>
    </xf>
    <xf numFmtId="41" fontId="8" fillId="0" borderId="38" xfId="48" applyFont="1" applyFill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3" fillId="0" borderId="39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 vertical="center" wrapText="1"/>
    </xf>
    <xf numFmtId="41" fontId="8" fillId="0" borderId="14" xfId="48" applyFont="1" applyBorder="1" applyAlignment="1">
      <alignment horizontal="center" vertical="center"/>
    </xf>
    <xf numFmtId="41" fontId="16" fillId="0" borderId="37" xfId="48" applyFont="1" applyBorder="1" applyAlignment="1">
      <alignment horizontal="center" vertical="center"/>
    </xf>
    <xf numFmtId="41" fontId="6" fillId="0" borderId="51" xfId="48" applyFont="1" applyBorder="1" applyAlignment="1">
      <alignment vertical="center"/>
    </xf>
    <xf numFmtId="193" fontId="6" fillId="0" borderId="38" xfId="48" applyNumberFormat="1" applyFont="1" applyBorder="1" applyAlignment="1">
      <alignment vertical="center"/>
    </xf>
    <xf numFmtId="41" fontId="6" fillId="0" borderId="30" xfId="48" applyFont="1" applyFill="1" applyBorder="1" applyAlignment="1">
      <alignment horizontal="right" vertical="center"/>
    </xf>
    <xf numFmtId="41" fontId="12" fillId="0" borderId="67" xfId="48" applyFont="1" applyFill="1" applyBorder="1" applyAlignment="1">
      <alignment horizontal="left" vertical="center" wrapText="1"/>
    </xf>
    <xf numFmtId="41" fontId="6" fillId="0" borderId="63" xfId="48" applyFont="1" applyBorder="1" applyAlignment="1">
      <alignment vertical="center"/>
    </xf>
    <xf numFmtId="41" fontId="6" fillId="0" borderId="57" xfId="48" applyFont="1" applyBorder="1" applyAlignment="1">
      <alignment horizontal="center" vertical="center"/>
    </xf>
    <xf numFmtId="41" fontId="6" fillId="0" borderId="57" xfId="48" applyFont="1" applyBorder="1" applyAlignment="1">
      <alignment vertical="center"/>
    </xf>
    <xf numFmtId="41" fontId="6" fillId="0" borderId="57" xfId="48" applyFont="1" applyFill="1" applyBorder="1" applyAlignment="1">
      <alignment horizontal="right" vertical="center"/>
    </xf>
    <xf numFmtId="0" fontId="10" fillId="0" borderId="44" xfId="0" applyFont="1" applyBorder="1" applyAlignment="1">
      <alignment horizontal="justify" vertical="center" wrapText="1"/>
    </xf>
    <xf numFmtId="41" fontId="8" fillId="0" borderId="51" xfId="48" applyFont="1" applyBorder="1" applyAlignment="1">
      <alignment vertical="center"/>
    </xf>
    <xf numFmtId="41" fontId="8" fillId="0" borderId="38" xfId="48" applyFont="1" applyBorder="1" applyAlignment="1">
      <alignment vertical="center"/>
    </xf>
    <xf numFmtId="200" fontId="6" fillId="0" borderId="10" xfId="48" applyNumberFormat="1" applyFont="1" applyBorder="1" applyAlignment="1">
      <alignment vertical="center"/>
    </xf>
    <xf numFmtId="200" fontId="6" fillId="0" borderId="46" xfId="48" applyNumberFormat="1" applyFont="1" applyBorder="1" applyAlignment="1">
      <alignment vertical="center"/>
    </xf>
    <xf numFmtId="210" fontId="16" fillId="0" borderId="14" xfId="48" applyNumberFormat="1" applyFont="1" applyBorder="1" applyAlignment="1">
      <alignment horizontal="right" vertical="center"/>
    </xf>
    <xf numFmtId="41" fontId="7" fillId="33" borderId="0" xfId="0" applyNumberFormat="1" applyFont="1" applyFill="1" applyAlignment="1">
      <alignment vertical="center"/>
    </xf>
    <xf numFmtId="210" fontId="8" fillId="0" borderId="14" xfId="48" applyNumberFormat="1" applyFont="1" applyFill="1" applyBorder="1" applyAlignment="1">
      <alignment horizontal="right" vertical="center"/>
    </xf>
    <xf numFmtId="210" fontId="6" fillId="0" borderId="49" xfId="48" applyNumberFormat="1" applyFont="1" applyBorder="1" applyAlignment="1">
      <alignment horizontal="right" vertical="center"/>
    </xf>
    <xf numFmtId="195" fontId="6" fillId="0" borderId="14" xfId="48" applyNumberFormat="1" applyFont="1" applyFill="1" applyBorder="1" applyAlignment="1">
      <alignment horizontal="right" vertical="center"/>
    </xf>
    <xf numFmtId="200" fontId="6" fillId="0" borderId="64" xfId="48" applyNumberFormat="1" applyFont="1" applyFill="1" applyBorder="1" applyAlignment="1">
      <alignment horizontal="right" vertical="center"/>
    </xf>
    <xf numFmtId="210" fontId="18" fillId="0" borderId="44" xfId="48" applyNumberFormat="1" applyFont="1" applyFill="1" applyBorder="1" applyAlignment="1">
      <alignment horizontal="right" vertical="center"/>
    </xf>
    <xf numFmtId="210" fontId="18" fillId="0" borderId="68" xfId="48" applyNumberFormat="1" applyFont="1" applyFill="1" applyBorder="1" applyAlignment="1">
      <alignment horizontal="right" vertical="center"/>
    </xf>
    <xf numFmtId="210" fontId="18" fillId="0" borderId="69" xfId="48" applyNumberFormat="1" applyFont="1" applyFill="1" applyBorder="1" applyAlignment="1">
      <alignment horizontal="right" vertical="center"/>
    </xf>
    <xf numFmtId="210" fontId="18" fillId="0" borderId="59" xfId="48" applyNumberFormat="1" applyFont="1" applyFill="1" applyBorder="1" applyAlignment="1">
      <alignment horizontal="right" vertical="center"/>
    </xf>
    <xf numFmtId="0" fontId="22" fillId="0" borderId="38" xfId="0" applyFont="1" applyBorder="1" applyAlignment="1">
      <alignment horizontal="center" vertical="center"/>
    </xf>
    <xf numFmtId="41" fontId="18" fillId="0" borderId="38" xfId="0" applyNumberFormat="1" applyFont="1" applyBorder="1" applyAlignment="1">
      <alignment horizontal="center" vertical="center"/>
    </xf>
    <xf numFmtId="9" fontId="28" fillId="0" borderId="38" xfId="48" applyNumberFormat="1" applyFont="1" applyBorder="1" applyAlignment="1">
      <alignment vertical="center"/>
    </xf>
    <xf numFmtId="41" fontId="18" fillId="0" borderId="38" xfId="48" applyFont="1" applyBorder="1" applyAlignment="1">
      <alignment vertical="center"/>
    </xf>
    <xf numFmtId="210" fontId="18" fillId="0" borderId="67" xfId="48" applyNumberFormat="1" applyFont="1" applyFill="1" applyBorder="1" applyAlignment="1">
      <alignment horizontal="right" vertical="center"/>
    </xf>
    <xf numFmtId="210" fontId="8" fillId="0" borderId="35" xfId="48" applyNumberFormat="1" applyFont="1" applyFill="1" applyBorder="1" applyAlignment="1">
      <alignment horizontal="right" vertical="center"/>
    </xf>
    <xf numFmtId="195" fontId="8" fillId="0" borderId="14" xfId="48" applyNumberFormat="1" applyFont="1" applyFill="1" applyBorder="1" applyAlignment="1">
      <alignment vertical="center"/>
    </xf>
    <xf numFmtId="195" fontId="6" fillId="0" borderId="12" xfId="48" applyNumberFormat="1" applyFont="1" applyFill="1" applyBorder="1" applyAlignment="1">
      <alignment vertical="center"/>
    </xf>
    <xf numFmtId="195" fontId="6" fillId="0" borderId="12" xfId="48" applyNumberFormat="1" applyFont="1" applyBorder="1" applyAlignment="1">
      <alignment horizontal="right" vertical="center"/>
    </xf>
    <xf numFmtId="210" fontId="27" fillId="0" borderId="64" xfId="48" applyNumberFormat="1" applyFont="1" applyFill="1" applyBorder="1" applyAlignment="1">
      <alignment horizontal="right" vertical="center"/>
    </xf>
    <xf numFmtId="200" fontId="6" fillId="0" borderId="14" xfId="48" applyNumberFormat="1" applyFont="1" applyFill="1" applyBorder="1" applyAlignment="1">
      <alignment horizontal="right" vertical="center"/>
    </xf>
    <xf numFmtId="210" fontId="8" fillId="0" borderId="57" xfId="48" applyNumberFormat="1" applyFont="1" applyBorder="1" applyAlignment="1">
      <alignment horizontal="right" vertical="center"/>
    </xf>
    <xf numFmtId="210" fontId="6" fillId="0" borderId="14" xfId="48" applyNumberFormat="1" applyFont="1" applyBorder="1" applyAlignment="1">
      <alignment horizontal="right" vertical="center"/>
    </xf>
    <xf numFmtId="210" fontId="6" fillId="0" borderId="11" xfId="48" applyNumberFormat="1" applyFont="1" applyBorder="1" applyAlignment="1">
      <alignment horizontal="right" vertical="center"/>
    </xf>
    <xf numFmtId="3" fontId="18" fillId="0" borderId="67" xfId="48" applyNumberFormat="1" applyFont="1" applyFill="1" applyBorder="1" applyAlignment="1">
      <alignment horizontal="right" vertical="center"/>
    </xf>
    <xf numFmtId="41" fontId="28" fillId="0" borderId="46" xfId="48" applyFont="1" applyBorder="1" applyAlignment="1">
      <alignment horizontal="right" vertical="center"/>
    </xf>
    <xf numFmtId="195" fontId="7" fillId="0" borderId="12" xfId="48" applyNumberFormat="1" applyFont="1" applyFill="1" applyBorder="1" applyAlignment="1">
      <alignment horizontal="right" vertical="center"/>
    </xf>
    <xf numFmtId="195" fontId="8" fillId="0" borderId="14" xfId="48" applyNumberFormat="1" applyFont="1" applyFill="1" applyBorder="1" applyAlignment="1">
      <alignment horizontal="right" vertical="center"/>
    </xf>
    <xf numFmtId="210" fontId="6" fillId="0" borderId="35" xfId="48" applyNumberFormat="1" applyFont="1" applyFill="1" applyBorder="1" applyAlignment="1">
      <alignment horizontal="right" vertical="center"/>
    </xf>
    <xf numFmtId="210" fontId="6" fillId="0" borderId="64" xfId="48" applyNumberFormat="1" applyFont="1" applyFill="1" applyBorder="1" applyAlignment="1">
      <alignment horizontal="right" vertical="center"/>
    </xf>
    <xf numFmtId="210" fontId="7" fillId="0" borderId="64" xfId="48" applyNumberFormat="1" applyFont="1" applyFill="1" applyBorder="1" applyAlignment="1">
      <alignment horizontal="right" vertical="center"/>
    </xf>
    <xf numFmtId="195" fontId="8" fillId="0" borderId="57" xfId="48" applyNumberFormat="1" applyFont="1" applyFill="1" applyBorder="1" applyAlignment="1">
      <alignment horizontal="right" vertical="center"/>
    </xf>
    <xf numFmtId="200" fontId="6" fillId="0" borderId="12" xfId="48" applyNumberFormat="1" applyFont="1" applyFill="1" applyBorder="1" applyAlignment="1">
      <alignment horizontal="right" vertical="center"/>
    </xf>
    <xf numFmtId="210" fontId="6" fillId="0" borderId="64" xfId="48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13" fillId="0" borderId="67" xfId="0" applyFont="1" applyBorder="1" applyAlignment="1">
      <alignment horizontal="justify" vertical="center" wrapText="1"/>
    </xf>
    <xf numFmtId="41" fontId="11" fillId="0" borderId="41" xfId="48" applyFont="1" applyFill="1" applyBorder="1" applyAlignment="1">
      <alignment horizontal="left" vertical="center" wrapText="1"/>
    </xf>
    <xf numFmtId="210" fontId="6" fillId="0" borderId="46" xfId="48" applyNumberFormat="1" applyFont="1" applyBorder="1" applyAlignment="1">
      <alignment horizontal="right" vertical="center"/>
    </xf>
    <xf numFmtId="195" fontId="18" fillId="0" borderId="69" xfId="48" applyNumberFormat="1" applyFont="1" applyFill="1" applyBorder="1" applyAlignment="1">
      <alignment horizontal="right" vertical="center"/>
    </xf>
    <xf numFmtId="195" fontId="6" fillId="0" borderId="49" xfId="48" applyNumberFormat="1" applyFont="1" applyBorder="1" applyAlignment="1">
      <alignment horizontal="right" vertical="center"/>
    </xf>
    <xf numFmtId="49" fontId="12" fillId="0" borderId="70" xfId="48" applyNumberFormat="1" applyFont="1" applyFill="1" applyBorder="1" applyAlignment="1">
      <alignment horizontal="left" vertical="center" wrapText="1"/>
    </xf>
    <xf numFmtId="49" fontId="12" fillId="0" borderId="22" xfId="48" applyNumberFormat="1" applyFont="1" applyFill="1" applyBorder="1" applyAlignment="1">
      <alignment horizontal="left" vertical="center" wrapText="1"/>
    </xf>
    <xf numFmtId="178" fontId="12" fillId="0" borderId="22" xfId="48" applyNumberFormat="1" applyFont="1" applyFill="1" applyBorder="1" applyAlignment="1">
      <alignment horizontal="left" vertical="center" wrapText="1"/>
    </xf>
    <xf numFmtId="41" fontId="6" fillId="0" borderId="14" xfId="48" applyFont="1" applyBorder="1" applyAlignment="1">
      <alignment horizontal="center" vertical="center"/>
    </xf>
    <xf numFmtId="210" fontId="6" fillId="0" borderId="38" xfId="48" applyNumberFormat="1" applyFont="1" applyBorder="1" applyAlignment="1">
      <alignment horizontal="right" vertical="center"/>
    </xf>
    <xf numFmtId="0" fontId="13" fillId="0" borderId="50" xfId="0" applyFont="1" applyBorder="1" applyAlignment="1">
      <alignment horizontal="justify" vertical="center" wrapText="1"/>
    </xf>
    <xf numFmtId="195" fontId="6" fillId="0" borderId="57" xfId="48" applyNumberFormat="1" applyFont="1" applyBorder="1" applyAlignment="1">
      <alignment horizontal="right" vertical="center"/>
    </xf>
    <xf numFmtId="41" fontId="11" fillId="0" borderId="68" xfId="48" applyFont="1" applyFill="1" applyBorder="1" applyAlignment="1">
      <alignment horizontal="left" vertical="center" wrapText="1"/>
    </xf>
    <xf numFmtId="195" fontId="18" fillId="0" borderId="41" xfId="48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95" fontId="6" fillId="0" borderId="38" xfId="48" applyNumberFormat="1" applyFont="1" applyFill="1" applyBorder="1" applyAlignment="1">
      <alignment horizontal="right" vertical="center"/>
    </xf>
    <xf numFmtId="0" fontId="6" fillId="0" borderId="6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95" fontId="6" fillId="0" borderId="38" xfId="48" applyNumberFormat="1" applyFont="1" applyFill="1" applyBorder="1" applyAlignment="1">
      <alignment vertical="center"/>
    </xf>
    <xf numFmtId="41" fontId="6" fillId="0" borderId="67" xfId="48" applyFont="1" applyFill="1" applyBorder="1" applyAlignment="1">
      <alignment horizontal="left" vertical="center" wrapText="1"/>
    </xf>
    <xf numFmtId="41" fontId="6" fillId="0" borderId="25" xfId="48" applyFont="1" applyFill="1" applyBorder="1" applyAlignment="1">
      <alignment horizontal="left" vertical="center" wrapText="1"/>
    </xf>
    <xf numFmtId="210" fontId="6" fillId="0" borderId="38" xfId="48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vertical="center" wrapText="1"/>
    </xf>
    <xf numFmtId="41" fontId="6" fillId="0" borderId="49" xfId="48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center" vertical="center" wrapText="1"/>
    </xf>
    <xf numFmtId="41" fontId="6" fillId="0" borderId="49" xfId="48" applyFont="1" applyBorder="1" applyAlignment="1">
      <alignment vertical="center"/>
    </xf>
    <xf numFmtId="41" fontId="12" fillId="0" borderId="71" xfId="48" applyFont="1" applyFill="1" applyBorder="1" applyAlignment="1">
      <alignment horizontal="left" vertical="center" wrapText="1"/>
    </xf>
    <xf numFmtId="41" fontId="6" fillId="0" borderId="47" xfId="48" applyFont="1" applyBorder="1" applyAlignment="1">
      <alignment vertical="center"/>
    </xf>
    <xf numFmtId="210" fontId="6" fillId="0" borderId="10" xfId="48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195" fontId="6" fillId="0" borderId="49" xfId="48" applyNumberFormat="1" applyFont="1" applyFill="1" applyBorder="1" applyAlignment="1">
      <alignment horizontal="right" vertical="center"/>
    </xf>
    <xf numFmtId="195" fontId="6" fillId="0" borderId="11" xfId="48" applyNumberFormat="1" applyFont="1" applyFill="1" applyBorder="1" applyAlignment="1">
      <alignment horizontal="right" vertical="center"/>
    </xf>
    <xf numFmtId="195" fontId="6" fillId="0" borderId="38" xfId="48" applyNumberFormat="1" applyFont="1" applyFill="1" applyBorder="1" applyAlignment="1">
      <alignment horizontal="right" vertical="center"/>
    </xf>
    <xf numFmtId="210" fontId="7" fillId="0" borderId="11" xfId="48" applyNumberFormat="1" applyFont="1" applyFill="1" applyBorder="1" applyAlignment="1">
      <alignment horizontal="right" vertical="center"/>
    </xf>
    <xf numFmtId="210" fontId="7" fillId="0" borderId="38" xfId="48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95" fontId="2" fillId="0" borderId="63" xfId="0" applyNumberFormat="1" applyFont="1" applyBorder="1" applyAlignment="1">
      <alignment horizontal="center" vertical="center" wrapText="1"/>
    </xf>
    <xf numFmtId="195" fontId="2" fillId="0" borderId="51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1" fontId="6" fillId="0" borderId="11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210" fontId="6" fillId="0" borderId="49" xfId="48" applyNumberFormat="1" applyFont="1" applyBorder="1" applyAlignment="1">
      <alignment horizontal="right" vertical="center"/>
    </xf>
    <xf numFmtId="210" fontId="6" fillId="0" borderId="12" xfId="48" applyNumberFormat="1" applyFont="1" applyBorder="1" applyAlignment="1">
      <alignment horizontal="right" vertical="center"/>
    </xf>
    <xf numFmtId="41" fontId="6" fillId="0" borderId="49" xfId="48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13</xdr:row>
      <xdr:rowOff>57150</xdr:rowOff>
    </xdr:from>
    <xdr:to>
      <xdr:col>2</xdr:col>
      <xdr:colOff>28575</xdr:colOff>
      <xdr:row>13</xdr:row>
      <xdr:rowOff>466725</xdr:rowOff>
    </xdr:to>
    <xdr:pic>
      <xdr:nvPicPr>
        <xdr:cNvPr id="1" name="그림 1" descr="성안복지재단_logo(7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229475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Rectangle 1"/>
        <xdr:cNvSpPr>
          <a:spLocks/>
        </xdr:cNvSpPr>
      </xdr:nvSpPr>
      <xdr:spPr>
        <a:xfrm>
          <a:off x="1028700" y="352425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5" sqref="A5:I5"/>
    </sheetView>
  </sheetViews>
  <sheetFormatPr defaultColWidth="8.88671875" defaultRowHeight="13.5"/>
  <cols>
    <col min="1" max="1" width="7.5546875" style="0" customWidth="1"/>
    <col min="2" max="2" width="5.5546875" style="0" customWidth="1"/>
    <col min="3" max="3" width="14.4453125" style="0" customWidth="1"/>
    <col min="4" max="4" width="4.88671875" style="0" customWidth="1"/>
    <col min="5" max="5" width="7.3359375" style="0" customWidth="1"/>
    <col min="6" max="7" width="10.77734375" style="0" customWidth="1"/>
    <col min="8" max="8" width="8.3359375" style="0" customWidth="1"/>
    <col min="9" max="9" width="3.6640625" style="0" customWidth="1"/>
  </cols>
  <sheetData>
    <row r="1" spans="1:9" ht="19.5" customHeight="1">
      <c r="A1" s="174"/>
      <c r="B1" s="174"/>
      <c r="C1" s="174"/>
      <c r="D1" s="174"/>
      <c r="E1" s="174"/>
      <c r="F1" s="174"/>
      <c r="G1" s="174"/>
      <c r="H1" s="174"/>
      <c r="I1" s="174"/>
    </row>
    <row r="2" spans="1:9" ht="38.25" customHeight="1">
      <c r="A2" s="329"/>
      <c r="B2" s="329"/>
      <c r="C2" s="329"/>
      <c r="D2" s="329"/>
      <c r="E2" s="329"/>
      <c r="F2" s="329"/>
      <c r="G2" s="329"/>
      <c r="H2" s="329"/>
      <c r="I2" s="329"/>
    </row>
    <row r="3" spans="1:9" ht="39" customHeight="1">
      <c r="A3" s="175"/>
      <c r="B3" s="175"/>
      <c r="D3" s="175"/>
      <c r="E3" s="175"/>
      <c r="F3" s="175"/>
      <c r="G3" s="175"/>
      <c r="H3" s="175"/>
      <c r="I3" s="175"/>
    </row>
    <row r="4" spans="1:9" ht="39" customHeight="1">
      <c r="A4" s="330" t="s">
        <v>190</v>
      </c>
      <c r="B4" s="330"/>
      <c r="C4" s="330"/>
      <c r="D4" s="330"/>
      <c r="E4" s="330"/>
      <c r="F4" s="330"/>
      <c r="G4" s="330"/>
      <c r="H4" s="330"/>
      <c r="I4" s="330"/>
    </row>
    <row r="5" spans="1:9" ht="39" customHeight="1">
      <c r="A5" s="332" t="s">
        <v>98</v>
      </c>
      <c r="B5" s="332"/>
      <c r="C5" s="332"/>
      <c r="D5" s="332"/>
      <c r="E5" s="332"/>
      <c r="F5" s="332"/>
      <c r="G5" s="332"/>
      <c r="H5" s="332"/>
      <c r="I5" s="332"/>
    </row>
    <row r="6" spans="1:9" ht="57.75" customHeight="1">
      <c r="A6" s="174"/>
      <c r="B6" s="174"/>
      <c r="C6" s="174"/>
      <c r="D6" s="174"/>
      <c r="E6" s="174"/>
      <c r="F6" s="174"/>
      <c r="G6" s="174"/>
      <c r="H6" s="174"/>
      <c r="I6" s="174"/>
    </row>
    <row r="7" spans="1:9" ht="42" customHeight="1">
      <c r="A7" s="174"/>
      <c r="B7" s="174"/>
      <c r="C7" s="174"/>
      <c r="D7" s="174"/>
      <c r="E7" s="174"/>
      <c r="F7" s="174"/>
      <c r="G7" s="174"/>
      <c r="H7" s="174"/>
      <c r="I7" s="174"/>
    </row>
    <row r="8" spans="1:9" ht="57.75" customHeight="1">
      <c r="A8" s="174"/>
      <c r="B8" s="174"/>
      <c r="C8" s="174"/>
      <c r="D8" s="174"/>
      <c r="E8" s="174"/>
      <c r="F8" s="174"/>
      <c r="G8" s="174"/>
      <c r="H8" s="174"/>
      <c r="I8" s="174"/>
    </row>
    <row r="9" spans="1:9" ht="57.75" customHeight="1">
      <c r="A9" s="174"/>
      <c r="B9" s="174"/>
      <c r="C9" s="174"/>
      <c r="D9" s="174"/>
      <c r="E9" s="174"/>
      <c r="F9" s="174"/>
      <c r="G9" s="174"/>
      <c r="H9" s="174"/>
      <c r="I9" s="174"/>
    </row>
    <row r="10" spans="1:9" ht="40.5" customHeight="1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 ht="40.5" customHeight="1">
      <c r="A11" s="174"/>
      <c r="B11" s="174"/>
      <c r="C11" s="174"/>
      <c r="D11" s="174"/>
      <c r="E11" s="174"/>
      <c r="F11" s="174"/>
      <c r="G11" s="174"/>
      <c r="H11" s="174"/>
      <c r="I11" s="174"/>
    </row>
    <row r="12" spans="1:9" ht="40.5" customHeight="1">
      <c r="A12" s="174"/>
      <c r="B12" s="174"/>
      <c r="C12" s="174"/>
      <c r="D12" s="174"/>
      <c r="E12" s="174"/>
      <c r="F12" s="174"/>
      <c r="G12" s="174"/>
      <c r="H12" s="174"/>
      <c r="I12" s="174"/>
    </row>
    <row r="13" spans="1:9" ht="53.25" customHeight="1">
      <c r="A13" s="174"/>
      <c r="B13" s="174"/>
      <c r="C13" s="174"/>
      <c r="D13" s="174"/>
      <c r="E13" s="174"/>
      <c r="F13" s="174"/>
      <c r="G13" s="174"/>
      <c r="H13" s="174"/>
      <c r="I13" s="174"/>
    </row>
    <row r="14" spans="1:9" ht="40.5" customHeight="1">
      <c r="A14" s="174"/>
      <c r="B14" s="174"/>
      <c r="C14" s="235" t="s">
        <v>97</v>
      </c>
      <c r="D14" s="331" t="s">
        <v>82</v>
      </c>
      <c r="E14" s="331"/>
      <c r="F14" s="331"/>
      <c r="G14" s="331"/>
      <c r="H14" s="331"/>
      <c r="I14" s="174"/>
    </row>
    <row r="15" spans="1:9" ht="34.5" customHeight="1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ht="19.5" customHeight="1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ht="19.5" customHeight="1">
      <c r="A17" s="176"/>
      <c r="B17" s="148"/>
      <c r="C17" s="174"/>
      <c r="D17" s="174"/>
      <c r="E17" s="174"/>
      <c r="F17" s="174"/>
      <c r="G17" s="174"/>
      <c r="H17" s="174"/>
      <c r="I17" s="177"/>
    </row>
    <row r="18" spans="1:9" ht="19.5" customHeight="1">
      <c r="A18" s="176"/>
      <c r="B18" s="148"/>
      <c r="C18" s="174"/>
      <c r="D18" s="174"/>
      <c r="E18" s="174"/>
      <c r="F18" s="174"/>
      <c r="G18" s="174"/>
      <c r="H18" s="174"/>
      <c r="I18" s="177"/>
    </row>
  </sheetData>
  <sheetProtection/>
  <mergeCells count="4">
    <mergeCell ref="A2:I2"/>
    <mergeCell ref="A4:I4"/>
    <mergeCell ref="D14:H14"/>
    <mergeCell ref="A5:I5"/>
  </mergeCells>
  <printOptions/>
  <pageMargins left="0.9055118110236221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4"/>
  <sheetViews>
    <sheetView zoomScale="80" zoomScaleNormal="80" zoomScalePageLayoutView="0" workbookViewId="0" topLeftCell="A1">
      <selection activeCell="B3" sqref="B3"/>
    </sheetView>
  </sheetViews>
  <sheetFormatPr defaultColWidth="8.88671875" defaultRowHeight="13.5"/>
  <cols>
    <col min="1" max="1" width="3.21484375" style="0" customWidth="1"/>
    <col min="2" max="2" width="5.99609375" style="0" customWidth="1"/>
    <col min="3" max="3" width="16.77734375" style="0" customWidth="1"/>
    <col min="4" max="4" width="20.88671875" style="0" customWidth="1"/>
    <col min="5" max="5" width="15.3359375" style="0" customWidth="1"/>
    <col min="6" max="6" width="18.88671875" style="0" customWidth="1"/>
    <col min="7" max="7" width="14.99609375" style="0" customWidth="1"/>
    <col min="8" max="8" width="18.21484375" style="0" customWidth="1"/>
    <col min="9" max="9" width="2.77734375" style="0" customWidth="1"/>
    <col min="10" max="10" width="16.99609375" style="0" customWidth="1"/>
    <col min="11" max="11" width="12.10546875" style="0" customWidth="1"/>
    <col min="13" max="13" width="16.5546875" style="0" bestFit="1" customWidth="1"/>
    <col min="14" max="14" width="13.77734375" style="0" bestFit="1" customWidth="1"/>
    <col min="15" max="15" width="18.99609375" style="0" customWidth="1"/>
  </cols>
  <sheetData>
    <row r="1" ht="24.75" customHeight="1"/>
    <row r="2" spans="1:10" ht="35.25" customHeight="1">
      <c r="A2" s="114"/>
      <c r="B2" s="333" t="s">
        <v>189</v>
      </c>
      <c r="C2" s="333"/>
      <c r="D2" s="333"/>
      <c r="E2" s="333"/>
      <c r="F2" s="333"/>
      <c r="G2" s="333"/>
      <c r="H2" s="333"/>
      <c r="I2" s="114"/>
      <c r="J2" s="31"/>
    </row>
    <row r="3" spans="2:10" ht="24.75" customHeight="1">
      <c r="B3" s="156"/>
      <c r="C3" s="153"/>
      <c r="D3" s="153"/>
      <c r="E3" s="153"/>
      <c r="F3" s="153"/>
      <c r="G3" s="153"/>
      <c r="H3" s="153"/>
      <c r="I3" s="72"/>
      <c r="J3" s="31"/>
    </row>
    <row r="4" spans="2:9" ht="30" customHeight="1" thickBot="1">
      <c r="B4" s="157" t="s">
        <v>30</v>
      </c>
      <c r="C4" s="154"/>
      <c r="D4" s="154"/>
      <c r="E4" s="154"/>
      <c r="F4" s="154"/>
      <c r="G4" s="154"/>
      <c r="H4" s="155" t="s">
        <v>28</v>
      </c>
      <c r="I4" s="73"/>
    </row>
    <row r="5" spans="2:11" ht="39.75" customHeight="1">
      <c r="B5" s="334" t="s">
        <v>32</v>
      </c>
      <c r="C5" s="335"/>
      <c r="D5" s="340" t="s">
        <v>104</v>
      </c>
      <c r="E5" s="341"/>
      <c r="F5" s="340" t="s">
        <v>135</v>
      </c>
      <c r="G5" s="341"/>
      <c r="H5" s="142" t="s">
        <v>71</v>
      </c>
      <c r="I5" s="80"/>
      <c r="J5" s="31"/>
      <c r="K5" s="51"/>
    </row>
    <row r="6" spans="2:11" ht="30" customHeight="1" thickBot="1">
      <c r="B6" s="336"/>
      <c r="C6" s="337"/>
      <c r="D6" s="225"/>
      <c r="E6" s="226" t="s">
        <v>72</v>
      </c>
      <c r="F6" s="225"/>
      <c r="G6" s="226" t="s">
        <v>72</v>
      </c>
      <c r="H6" s="132"/>
      <c r="I6" s="80"/>
      <c r="K6" s="51"/>
    </row>
    <row r="7" spans="2:15" ht="46.5" customHeight="1" thickBot="1">
      <c r="B7" s="342" t="s">
        <v>33</v>
      </c>
      <c r="C7" s="227" t="s">
        <v>65</v>
      </c>
      <c r="D7" s="228">
        <f>D8+D9+D10+D11+D12+D13+D14+D15</f>
        <v>1525237859</v>
      </c>
      <c r="E7" s="229">
        <v>1</v>
      </c>
      <c r="F7" s="230">
        <f>F8+F9+F10+F11+F12+F13+F14+F15</f>
        <v>1454975915</v>
      </c>
      <c r="G7" s="229">
        <v>1</v>
      </c>
      <c r="H7" s="271">
        <f>F7-D7</f>
        <v>-70261944</v>
      </c>
      <c r="I7" s="81"/>
      <c r="J7" s="53"/>
      <c r="K7" s="77"/>
      <c r="N7" s="31">
        <f>F7-F16</f>
        <v>0</v>
      </c>
      <c r="O7" s="31">
        <f>F7-D7</f>
        <v>-70261944</v>
      </c>
    </row>
    <row r="8" spans="2:15" ht="42.75" customHeight="1">
      <c r="B8" s="338"/>
      <c r="C8" s="231" t="s">
        <v>101</v>
      </c>
      <c r="D8" s="232">
        <f>2차추경세입예산!E7</f>
        <v>83400000</v>
      </c>
      <c r="E8" s="233">
        <v>0.055</v>
      </c>
      <c r="F8" s="234">
        <f>2차추경세입예산!F7</f>
        <v>68786170</v>
      </c>
      <c r="G8" s="233">
        <v>0.047</v>
      </c>
      <c r="H8" s="272">
        <f aca="true" t="shared" si="0" ref="H8:H23">F8-D8</f>
        <v>-14613830</v>
      </c>
      <c r="I8" s="81"/>
      <c r="J8" s="31">
        <f>G8-E8</f>
        <v>-0.008</v>
      </c>
      <c r="K8" s="51">
        <f>D8/D7</f>
        <v>0.054679995980876056</v>
      </c>
      <c r="L8" s="51"/>
      <c r="M8" s="51">
        <f>F8/F7</f>
        <v>0.047276500793485644</v>
      </c>
      <c r="O8" s="31">
        <f aca="true" t="shared" si="1" ref="O8:O23">F8-D8</f>
        <v>-14613830</v>
      </c>
    </row>
    <row r="9" spans="2:15" ht="42.75" customHeight="1">
      <c r="B9" s="338"/>
      <c r="C9" s="74" t="s">
        <v>47</v>
      </c>
      <c r="D9" s="185">
        <f>2차추경세입예산!E9</f>
        <v>66320000</v>
      </c>
      <c r="E9" s="186">
        <v>0.043</v>
      </c>
      <c r="F9" s="187">
        <f>2차추경세입예산!F9</f>
        <v>54970000</v>
      </c>
      <c r="G9" s="186">
        <v>0.038</v>
      </c>
      <c r="H9" s="273">
        <f t="shared" si="0"/>
        <v>-11350000</v>
      </c>
      <c r="I9" s="81"/>
      <c r="J9" s="31">
        <f>G9-E9</f>
        <v>-0.0049999999999999975</v>
      </c>
      <c r="K9" s="51">
        <f>D9/D7</f>
        <v>0.043481742607334534</v>
      </c>
      <c r="L9" s="51"/>
      <c r="M9" s="51">
        <f>F9/F7</f>
        <v>0.0377806941223491</v>
      </c>
      <c r="N9" s="31">
        <f>F7-F16</f>
        <v>0</v>
      </c>
      <c r="O9" s="31">
        <f t="shared" si="1"/>
        <v>-11350000</v>
      </c>
    </row>
    <row r="10" spans="2:15" ht="42.75" customHeight="1">
      <c r="B10" s="338"/>
      <c r="C10" s="75" t="s">
        <v>49</v>
      </c>
      <c r="D10" s="188">
        <f>2차추경세입예산!E14</f>
        <v>6040000</v>
      </c>
      <c r="E10" s="189">
        <v>0.004</v>
      </c>
      <c r="F10" s="190">
        <f>2차추경세입예산!F14</f>
        <v>8740005</v>
      </c>
      <c r="G10" s="189">
        <v>0.006</v>
      </c>
      <c r="H10" s="303">
        <f t="shared" si="0"/>
        <v>2700005</v>
      </c>
      <c r="I10" s="81"/>
      <c r="J10" s="31">
        <f>G10-E10</f>
        <v>0.002</v>
      </c>
      <c r="K10" s="51">
        <f>D10/D7</f>
        <v>0.003960038078231311</v>
      </c>
      <c r="L10" s="51"/>
      <c r="M10" s="51">
        <f>F10/F7</f>
        <v>0.006006975723718423</v>
      </c>
      <c r="O10" s="31">
        <f t="shared" si="1"/>
        <v>2700005</v>
      </c>
    </row>
    <row r="11" spans="2:15" ht="42.75" customHeight="1">
      <c r="B11" s="338"/>
      <c r="C11" s="76" t="s">
        <v>100</v>
      </c>
      <c r="D11" s="191">
        <f>2차추경세입예산!E17</f>
        <v>1030920000</v>
      </c>
      <c r="E11" s="189">
        <v>0.676</v>
      </c>
      <c r="F11" s="190">
        <f>2차추경세입예산!F17</f>
        <v>980934040</v>
      </c>
      <c r="G11" s="189">
        <v>0.674</v>
      </c>
      <c r="H11" s="273">
        <f t="shared" si="0"/>
        <v>-49985960</v>
      </c>
      <c r="I11" s="81"/>
      <c r="J11" s="31">
        <f>G11-E11</f>
        <v>-0.0020000000000000018</v>
      </c>
      <c r="K11" s="51">
        <f>D11/D7</f>
        <v>0.675907691326196</v>
      </c>
      <c r="L11" s="51"/>
      <c r="M11" s="51">
        <f>F11/F7</f>
        <v>0.6741926308793915</v>
      </c>
      <c r="O11" s="31">
        <f t="shared" si="1"/>
        <v>-49985960</v>
      </c>
    </row>
    <row r="12" spans="2:15" ht="42.75" customHeight="1">
      <c r="B12" s="338"/>
      <c r="C12" s="76" t="s">
        <v>58</v>
      </c>
      <c r="D12" s="202">
        <f>2차추경세입예산!E20</f>
        <v>0</v>
      </c>
      <c r="E12" s="193">
        <v>0</v>
      </c>
      <c r="F12" s="192">
        <f>2차추경세입예산!F20</f>
        <v>4000000</v>
      </c>
      <c r="G12" s="193">
        <v>0.003</v>
      </c>
      <c r="H12" s="303">
        <f t="shared" si="0"/>
        <v>4000000</v>
      </c>
      <c r="I12" s="81"/>
      <c r="J12" s="31">
        <f aca="true" t="shared" si="2" ref="J12:J23">G12-E12</f>
        <v>0.003</v>
      </c>
      <c r="K12" s="51">
        <f>D12/D7</f>
        <v>0</v>
      </c>
      <c r="L12" s="51"/>
      <c r="M12" s="51">
        <f>F12/F7</f>
        <v>0.002749186401480742</v>
      </c>
      <c r="O12" s="31">
        <f t="shared" si="1"/>
        <v>4000000</v>
      </c>
    </row>
    <row r="13" spans="2:15" ht="42.75" customHeight="1">
      <c r="B13" s="338"/>
      <c r="C13" s="75" t="s">
        <v>48</v>
      </c>
      <c r="D13" s="188">
        <f>2차추경세입예산!E22</f>
        <v>260172538</v>
      </c>
      <c r="E13" s="189">
        <v>0.17</v>
      </c>
      <c r="F13" s="190">
        <f>2차추경세입예산!F22</f>
        <v>260172538</v>
      </c>
      <c r="G13" s="189">
        <v>0.179</v>
      </c>
      <c r="H13" s="303">
        <f t="shared" si="0"/>
        <v>0</v>
      </c>
      <c r="I13" s="81"/>
      <c r="J13" s="31">
        <f t="shared" si="2"/>
        <v>0.00899999999999998</v>
      </c>
      <c r="K13" s="51">
        <f>D13/D7</f>
        <v>0.1705783373162389</v>
      </c>
      <c r="L13" s="51"/>
      <c r="M13" s="51">
        <f>F13/F7</f>
        <v>0.1788157008770829</v>
      </c>
      <c r="O13" s="31">
        <f t="shared" si="1"/>
        <v>0</v>
      </c>
    </row>
    <row r="14" spans="2:15" ht="42.75" customHeight="1">
      <c r="B14" s="338"/>
      <c r="C14" s="237" t="s">
        <v>34</v>
      </c>
      <c r="D14" s="238">
        <f>2차추경세입예산!E25</f>
        <v>2385321</v>
      </c>
      <c r="E14" s="239">
        <v>0.002</v>
      </c>
      <c r="F14" s="240">
        <f>2차추경세입예산!F25</f>
        <v>1373162</v>
      </c>
      <c r="G14" s="239">
        <v>0.001</v>
      </c>
      <c r="H14" s="274">
        <f t="shared" si="0"/>
        <v>-1012159</v>
      </c>
      <c r="I14" s="81"/>
      <c r="J14" s="31">
        <f t="shared" si="2"/>
        <v>-0.001</v>
      </c>
      <c r="K14" s="51">
        <f>D14/D7</f>
        <v>0.0015639009915239719</v>
      </c>
      <c r="L14" s="51"/>
      <c r="M14" s="51">
        <f>F14/F7</f>
        <v>0.0009437695743575247</v>
      </c>
      <c r="O14" s="31">
        <f t="shared" si="1"/>
        <v>-1012159</v>
      </c>
    </row>
    <row r="15" spans="2:15" ht="42.75" customHeight="1" thickBot="1">
      <c r="B15" s="339"/>
      <c r="C15" s="146" t="s">
        <v>113</v>
      </c>
      <c r="D15" s="290">
        <f>76000000</f>
        <v>76000000</v>
      </c>
      <c r="E15" s="199">
        <v>0.05</v>
      </c>
      <c r="F15" s="200">
        <f>2차추경세입예산!F28</f>
        <v>76000000</v>
      </c>
      <c r="G15" s="199">
        <v>0.052</v>
      </c>
      <c r="H15" s="313">
        <f t="shared" si="0"/>
        <v>0</v>
      </c>
      <c r="I15" s="81"/>
      <c r="J15" s="31">
        <f t="shared" si="2"/>
        <v>0.001999999999999995</v>
      </c>
      <c r="K15" s="51">
        <f>D15/D7</f>
        <v>0.049828293699599284</v>
      </c>
      <c r="L15" s="51"/>
      <c r="M15" s="51">
        <f>F15/F7</f>
        <v>0.052234541628134096</v>
      </c>
      <c r="O15" s="31">
        <f t="shared" si="1"/>
        <v>0</v>
      </c>
    </row>
    <row r="16" spans="2:15" ht="51.75" customHeight="1" thickBot="1">
      <c r="B16" s="338" t="s">
        <v>35</v>
      </c>
      <c r="C16" s="275" t="s">
        <v>65</v>
      </c>
      <c r="D16" s="276">
        <f>D17+D18+D19+D20+D21+D22+D23</f>
        <v>1525237859</v>
      </c>
      <c r="E16" s="277">
        <v>1</v>
      </c>
      <c r="F16" s="278">
        <f>F17+F18+F19+F20+F21+F22+F23</f>
        <v>1454975915</v>
      </c>
      <c r="G16" s="277">
        <v>1</v>
      </c>
      <c r="H16" s="279">
        <f t="shared" si="0"/>
        <v>-70261944</v>
      </c>
      <c r="I16" s="81"/>
      <c r="J16" s="53">
        <f t="shared" si="2"/>
        <v>0</v>
      </c>
      <c r="K16" s="77">
        <f>SUM(K8:K15)</f>
        <v>0.9999999999999999</v>
      </c>
      <c r="L16" s="77"/>
      <c r="M16" s="77">
        <f>SUM(M8:M15)</f>
        <v>0.9999999999999999</v>
      </c>
      <c r="O16" s="31">
        <f t="shared" si="1"/>
        <v>-70261944</v>
      </c>
    </row>
    <row r="17" spans="2:15" ht="42" customHeight="1">
      <c r="B17" s="338"/>
      <c r="C17" s="74" t="s">
        <v>36</v>
      </c>
      <c r="D17" s="194">
        <f>2차추경세출예산!F8</f>
        <v>1058453510</v>
      </c>
      <c r="E17" s="186">
        <v>0.694</v>
      </c>
      <c r="F17" s="187">
        <f>2차추경세출예산!G8</f>
        <v>1002561820</v>
      </c>
      <c r="G17" s="186">
        <v>0.689</v>
      </c>
      <c r="H17" s="272">
        <f t="shared" si="0"/>
        <v>-55891690</v>
      </c>
      <c r="I17" s="81"/>
      <c r="J17" s="31">
        <f t="shared" si="2"/>
        <v>-0.0050000000000000044</v>
      </c>
      <c r="K17" s="51">
        <f>D17/D16</f>
        <v>0.6939596363638387</v>
      </c>
      <c r="M17" s="51">
        <f>F17/F16</f>
        <v>0.6890573305469458</v>
      </c>
      <c r="O17" s="31">
        <f t="shared" si="1"/>
        <v>-55891690</v>
      </c>
    </row>
    <row r="18" spans="2:15" ht="42" customHeight="1">
      <c r="B18" s="338"/>
      <c r="C18" s="75" t="s">
        <v>37</v>
      </c>
      <c r="D18" s="195">
        <f>2차추경세출예산!F42</f>
        <v>4700000</v>
      </c>
      <c r="E18" s="189">
        <v>0.004</v>
      </c>
      <c r="F18" s="190">
        <f>2차추경세출예산!G42</f>
        <v>3247420</v>
      </c>
      <c r="G18" s="189">
        <v>0.003</v>
      </c>
      <c r="H18" s="273">
        <f t="shared" si="0"/>
        <v>-1452580</v>
      </c>
      <c r="I18" s="81"/>
      <c r="J18" s="31">
        <f t="shared" si="2"/>
        <v>-0.001</v>
      </c>
      <c r="K18" s="51">
        <f>D18/D17</f>
        <v>0.004440440657615657</v>
      </c>
      <c r="M18" s="51">
        <f>F18/F17</f>
        <v>0.003239121952599392</v>
      </c>
      <c r="O18" s="31">
        <f t="shared" si="1"/>
        <v>-1452580</v>
      </c>
    </row>
    <row r="19" spans="2:15" ht="42" customHeight="1">
      <c r="B19" s="338"/>
      <c r="C19" s="75" t="s">
        <v>99</v>
      </c>
      <c r="D19" s="195">
        <f>2차추경세출예산!F46</f>
        <v>67900000</v>
      </c>
      <c r="E19" s="189">
        <v>0.045</v>
      </c>
      <c r="F19" s="190">
        <f>2차추경세출예산!G46</f>
        <v>52797067</v>
      </c>
      <c r="G19" s="189">
        <v>0.036</v>
      </c>
      <c r="H19" s="273">
        <f t="shared" si="0"/>
        <v>-15102933</v>
      </c>
      <c r="I19" s="81"/>
      <c r="J19" s="31">
        <f t="shared" si="2"/>
        <v>-0.009000000000000001</v>
      </c>
      <c r="K19" s="51">
        <f>D19/D16</f>
        <v>0.04451764660793146</v>
      </c>
      <c r="M19" s="51">
        <f>F19/F16</f>
        <v>0.03628724465861691</v>
      </c>
      <c r="O19" s="31">
        <f t="shared" si="1"/>
        <v>-15102933</v>
      </c>
    </row>
    <row r="20" spans="2:15" ht="42" customHeight="1">
      <c r="B20" s="338"/>
      <c r="C20" s="75" t="s">
        <v>38</v>
      </c>
      <c r="D20" s="196">
        <f>2차추경세출예산!F62</f>
        <v>80000000</v>
      </c>
      <c r="E20" s="197">
        <v>0.05</v>
      </c>
      <c r="F20" s="190">
        <f>2차추경세출예산!G61</f>
        <v>9020000</v>
      </c>
      <c r="G20" s="197">
        <v>0.006</v>
      </c>
      <c r="H20" s="273">
        <f t="shared" si="0"/>
        <v>-70980000</v>
      </c>
      <c r="I20" s="81"/>
      <c r="J20" s="31">
        <f t="shared" si="2"/>
        <v>-0.044000000000000004</v>
      </c>
      <c r="K20" s="51">
        <f>D20/D16</f>
        <v>0.0524508354732624</v>
      </c>
      <c r="M20" s="51">
        <f>F20/F16</f>
        <v>0.006199415335339073</v>
      </c>
      <c r="O20" s="31">
        <f t="shared" si="1"/>
        <v>-70980000</v>
      </c>
    </row>
    <row r="21" spans="2:15" ht="42" customHeight="1">
      <c r="B21" s="338"/>
      <c r="C21" s="75" t="s">
        <v>39</v>
      </c>
      <c r="D21" s="195">
        <f>2차추경세출예산!F63</f>
        <v>28500000</v>
      </c>
      <c r="E21" s="189">
        <v>0.019</v>
      </c>
      <c r="F21" s="190">
        <f>2차추경세출예산!G63</f>
        <v>20200560</v>
      </c>
      <c r="G21" s="189">
        <v>0.014</v>
      </c>
      <c r="H21" s="273">
        <f t="shared" si="0"/>
        <v>-8299440</v>
      </c>
      <c r="I21" s="81"/>
      <c r="J21" s="31">
        <f t="shared" si="2"/>
        <v>-0.004999999999999999</v>
      </c>
      <c r="K21" s="51">
        <f>D21/D16</f>
        <v>0.01868561013734973</v>
      </c>
      <c r="M21" s="51">
        <f>F21/F16</f>
        <v>0.013883776213573954</v>
      </c>
      <c r="O21" s="31">
        <f t="shared" si="1"/>
        <v>-8299440</v>
      </c>
    </row>
    <row r="22" spans="2:15" ht="42" customHeight="1">
      <c r="B22" s="338"/>
      <c r="C22" s="75" t="s">
        <v>40</v>
      </c>
      <c r="D22" s="195">
        <f>2차추경세출예산!F73</f>
        <v>2500000</v>
      </c>
      <c r="E22" s="189">
        <v>0.002</v>
      </c>
      <c r="F22" s="190">
        <f>2차추경세출예산!G73</f>
        <v>2425972</v>
      </c>
      <c r="G22" s="189">
        <v>0.002</v>
      </c>
      <c r="H22" s="273">
        <f t="shared" si="0"/>
        <v>-74028</v>
      </c>
      <c r="I22" s="81"/>
      <c r="J22" s="31">
        <f t="shared" si="2"/>
        <v>0</v>
      </c>
      <c r="K22" s="51">
        <f>D22/D16</f>
        <v>0.00163908860853945</v>
      </c>
      <c r="M22" s="51">
        <f>F22/F16</f>
        <v>0.0016673623081932597</v>
      </c>
      <c r="O22" s="31">
        <f t="shared" si="1"/>
        <v>-74028</v>
      </c>
    </row>
    <row r="23" spans="2:15" ht="42" customHeight="1" thickBot="1">
      <c r="B23" s="339"/>
      <c r="C23" s="146" t="s">
        <v>41</v>
      </c>
      <c r="D23" s="198">
        <f>2차추경세출예산!F75</f>
        <v>283184349</v>
      </c>
      <c r="E23" s="199">
        <v>0.186</v>
      </c>
      <c r="F23" s="200">
        <f>2차추경세출예산!G76</f>
        <v>364723076</v>
      </c>
      <c r="G23" s="201">
        <v>0.25</v>
      </c>
      <c r="H23" s="289">
        <f t="shared" si="0"/>
        <v>81538727</v>
      </c>
      <c r="I23" s="81"/>
      <c r="J23" s="31">
        <f t="shared" si="2"/>
        <v>0.064</v>
      </c>
      <c r="K23" s="51">
        <f>D23/D16</f>
        <v>0.18566569622502402</v>
      </c>
      <c r="M23" s="51">
        <f>F23/F16</f>
        <v>0.2506729302113568</v>
      </c>
      <c r="O23" s="31">
        <f t="shared" si="1"/>
        <v>81538727</v>
      </c>
    </row>
    <row r="24" spans="7:13" ht="13.5">
      <c r="G24" s="31"/>
      <c r="K24" s="51">
        <f>SUM(K17:K23)</f>
        <v>1.0013589540735615</v>
      </c>
      <c r="M24" s="51">
        <f>SUM(M17:M23)</f>
        <v>1.0010071812266252</v>
      </c>
    </row>
    <row r="25" ht="13.5">
      <c r="G25" s="31"/>
    </row>
    <row r="26" spans="3:9" ht="13.5">
      <c r="C26" s="51"/>
      <c r="D26" s="51"/>
      <c r="F26" s="31">
        <f>F7-F16</f>
        <v>0</v>
      </c>
      <c r="G26" s="50"/>
      <c r="H26" s="52"/>
      <c r="I26" s="52"/>
    </row>
    <row r="27" spans="3:7" ht="13.5">
      <c r="C27" s="51"/>
      <c r="D27" s="51"/>
      <c r="G27" s="31"/>
    </row>
    <row r="28" spans="3:8" ht="13.5">
      <c r="C28" s="51"/>
      <c r="D28" s="51"/>
      <c r="H28" s="31"/>
    </row>
    <row r="29" spans="3:10" ht="13.5">
      <c r="C29" s="51"/>
      <c r="D29" s="51"/>
      <c r="E29" s="31" t="s">
        <v>55</v>
      </c>
      <c r="F29" s="31">
        <f>F8+F9+F10+F11+F12+F14</f>
        <v>1118803377</v>
      </c>
      <c r="G29" s="31">
        <f>G8+G9+G10+G11+G12+G14</f>
        <v>0.769</v>
      </c>
      <c r="H29" s="100"/>
      <c r="J29" s="31"/>
    </row>
    <row r="30" spans="5:10" ht="13.5">
      <c r="E30" s="31" t="s">
        <v>56</v>
      </c>
      <c r="F30" s="31">
        <f>F17+F18+F19+F20+F21+F22</f>
        <v>1090252839</v>
      </c>
      <c r="G30" s="31">
        <f>G17+G18+G19+G20+G21+G22</f>
        <v>0.75</v>
      </c>
      <c r="J30">
        <f>F23/F16*100</f>
        <v>25.06729302113568</v>
      </c>
    </row>
    <row r="31" spans="5:8" ht="13.5">
      <c r="E31" s="31"/>
      <c r="F31" s="31">
        <f>F29-F30</f>
        <v>28550538</v>
      </c>
      <c r="G31" s="31">
        <f>G29-G30</f>
        <v>0.019000000000000017</v>
      </c>
      <c r="H31" s="31"/>
    </row>
    <row r="33" ht="13.5">
      <c r="F33" s="100">
        <f>F13+F15+F31</f>
        <v>364723076</v>
      </c>
    </row>
    <row r="34" ht="13.5">
      <c r="F34" s="31"/>
    </row>
  </sheetData>
  <sheetProtection/>
  <mergeCells count="6">
    <mergeCell ref="B2:H2"/>
    <mergeCell ref="B5:C6"/>
    <mergeCell ref="B16:B23"/>
    <mergeCell ref="F5:G5"/>
    <mergeCell ref="D5:E5"/>
    <mergeCell ref="B7:B15"/>
  </mergeCells>
  <printOptions horizontalCentered="1" vertic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4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2:P109"/>
  <sheetViews>
    <sheetView zoomScale="90" zoomScaleNormal="90" zoomScalePageLayoutView="0" workbookViewId="0" topLeftCell="A26">
      <selection activeCell="B2" sqref="B2:H30"/>
    </sheetView>
  </sheetViews>
  <sheetFormatPr defaultColWidth="8.88671875" defaultRowHeight="13.5"/>
  <cols>
    <col min="1" max="1" width="1.2265625" style="0" customWidth="1"/>
    <col min="2" max="2" width="5.21484375" style="0" customWidth="1"/>
    <col min="3" max="3" width="5.5546875" style="0" customWidth="1"/>
    <col min="4" max="4" width="8.77734375" style="0" customWidth="1"/>
    <col min="5" max="6" width="12.77734375" style="57" customWidth="1"/>
    <col min="7" max="7" width="13.6640625" style="57" customWidth="1"/>
    <col min="8" max="8" width="27.5546875" style="0" customWidth="1"/>
    <col min="9" max="9" width="3.21484375" style="0" customWidth="1"/>
    <col min="10" max="10" width="13.3359375" style="57" bestFit="1" customWidth="1"/>
    <col min="11" max="11" width="11.5546875" style="0" bestFit="1" customWidth="1"/>
    <col min="12" max="12" width="13.6640625" style="0" customWidth="1"/>
    <col min="13" max="13" width="13.4453125" style="0" customWidth="1"/>
    <col min="14" max="14" width="14.5546875" style="0" customWidth="1"/>
    <col min="15" max="15" width="12.6640625" style="0" bestFit="1" customWidth="1"/>
    <col min="16" max="16" width="12.99609375" style="0" customWidth="1"/>
  </cols>
  <sheetData>
    <row r="2" spans="2:9" ht="22.5" customHeight="1">
      <c r="B2" s="174" t="s">
        <v>46</v>
      </c>
      <c r="D2" s="22"/>
      <c r="E2" s="56"/>
      <c r="F2" s="56"/>
      <c r="G2" s="56"/>
      <c r="H2" s="22"/>
      <c r="I2" s="22"/>
    </row>
    <row r="3" spans="4:9" ht="19.5" customHeight="1" thickBot="1">
      <c r="D3" s="38"/>
      <c r="E3" s="59"/>
      <c r="F3" s="56"/>
      <c r="G3" s="56"/>
      <c r="H3" s="39" t="s">
        <v>5</v>
      </c>
      <c r="I3" s="46"/>
    </row>
    <row r="4" spans="2:9" ht="20.25" customHeight="1">
      <c r="B4" s="354" t="s">
        <v>62</v>
      </c>
      <c r="C4" s="355"/>
      <c r="D4" s="356"/>
      <c r="E4" s="352" t="s">
        <v>105</v>
      </c>
      <c r="F4" s="352" t="s">
        <v>120</v>
      </c>
      <c r="G4" s="350" t="s">
        <v>2</v>
      </c>
      <c r="H4" s="348" t="s">
        <v>7</v>
      </c>
      <c r="I4" s="84"/>
    </row>
    <row r="5" spans="2:9" ht="21" customHeight="1" thickBot="1">
      <c r="B5" s="13" t="s">
        <v>8</v>
      </c>
      <c r="C5" s="13" t="s">
        <v>9</v>
      </c>
      <c r="D5" s="14" t="s">
        <v>10</v>
      </c>
      <c r="E5" s="353"/>
      <c r="F5" s="353"/>
      <c r="G5" s="351"/>
      <c r="H5" s="349"/>
      <c r="I5" s="84"/>
    </row>
    <row r="6" spans="2:10" ht="60" customHeight="1" thickBot="1">
      <c r="B6" s="132"/>
      <c r="C6" s="132"/>
      <c r="D6" s="134" t="s">
        <v>65</v>
      </c>
      <c r="E6" s="183">
        <f>E7+E9+E14+E17+E20+E22+E25+E28</f>
        <v>1525237859</v>
      </c>
      <c r="F6" s="184">
        <f>F7+F9+F14+F17+F20+F22+F3+F25+F28</f>
        <v>1454975915</v>
      </c>
      <c r="G6" s="280">
        <f aca="true" t="shared" si="0" ref="G6:G11">F6-E6</f>
        <v>-70261944</v>
      </c>
      <c r="H6" s="133"/>
      <c r="I6" s="84"/>
      <c r="J6" s="57">
        <f>F6-E6</f>
        <v>-70261944</v>
      </c>
    </row>
    <row r="7" spans="2:15" ht="49.5" customHeight="1" thickBot="1">
      <c r="B7" s="357" t="s">
        <v>63</v>
      </c>
      <c r="C7" s="357" t="s">
        <v>91</v>
      </c>
      <c r="D7" s="140" t="s">
        <v>66</v>
      </c>
      <c r="E7" s="144">
        <f>E8</f>
        <v>83400000</v>
      </c>
      <c r="F7" s="281">
        <f>F8</f>
        <v>68786170</v>
      </c>
      <c r="G7" s="280">
        <f t="shared" si="0"/>
        <v>-14613830</v>
      </c>
      <c r="H7" s="126"/>
      <c r="I7" s="85"/>
      <c r="J7" s="57">
        <f>F7-E7</f>
        <v>-14613830</v>
      </c>
      <c r="K7" s="100">
        <f>J7/12</f>
        <v>-1217819.1666666667</v>
      </c>
      <c r="M7" s="100">
        <f>F7/6</f>
        <v>11464361.666666666</v>
      </c>
      <c r="N7" s="31">
        <f>ROUNDDOWN(M7,-1)</f>
        <v>11464360</v>
      </c>
      <c r="O7" s="31">
        <f>N7*6</f>
        <v>68786160</v>
      </c>
    </row>
    <row r="8" spans="2:15" ht="71.25" customHeight="1" thickBot="1">
      <c r="B8" s="358"/>
      <c r="C8" s="358"/>
      <c r="D8" s="117" t="s">
        <v>67</v>
      </c>
      <c r="E8" s="60">
        <f>72000000+11400000</f>
        <v>83400000</v>
      </c>
      <c r="F8" s="282">
        <f>56605190+12180980</f>
        <v>68786170</v>
      </c>
      <c r="G8" s="293">
        <f t="shared" si="0"/>
        <v>-14613830</v>
      </c>
      <c r="H8" s="111" t="s">
        <v>148</v>
      </c>
      <c r="I8" s="85"/>
      <c r="K8" s="100"/>
      <c r="M8" s="100"/>
      <c r="N8" s="31"/>
      <c r="O8" s="31"/>
    </row>
    <row r="9" spans="2:11" s="1" customFormat="1" ht="49.5" customHeight="1" thickBot="1">
      <c r="B9" s="54" t="s">
        <v>61</v>
      </c>
      <c r="C9" s="54" t="s">
        <v>61</v>
      </c>
      <c r="D9" s="140" t="s">
        <v>66</v>
      </c>
      <c r="E9" s="152">
        <f>E10+E11</f>
        <v>66320000</v>
      </c>
      <c r="F9" s="152">
        <f>F10+F11</f>
        <v>54970000</v>
      </c>
      <c r="G9" s="267">
        <f t="shared" si="0"/>
        <v>-11350000</v>
      </c>
      <c r="H9" s="206"/>
      <c r="I9" s="86"/>
      <c r="J9" s="64">
        <f>F9-E9</f>
        <v>-11350000</v>
      </c>
      <c r="K9" s="49"/>
    </row>
    <row r="10" spans="2:11" s="1" customFormat="1" ht="66.75" customHeight="1">
      <c r="B10" s="20"/>
      <c r="C10" s="20"/>
      <c r="D10" s="20" t="s">
        <v>93</v>
      </c>
      <c r="E10" s="147">
        <v>35000000</v>
      </c>
      <c r="F10" s="283">
        <f>17500000+10000000</f>
        <v>27500000</v>
      </c>
      <c r="G10" s="294">
        <f t="shared" si="0"/>
        <v>-7500000</v>
      </c>
      <c r="H10" s="205" t="s">
        <v>136</v>
      </c>
      <c r="I10" s="86"/>
      <c r="J10" s="64"/>
      <c r="K10" s="49"/>
    </row>
    <row r="11" spans="2:11" s="1" customFormat="1" ht="90" customHeight="1">
      <c r="B11" s="20"/>
      <c r="C11" s="20"/>
      <c r="D11" s="363" t="s">
        <v>81</v>
      </c>
      <c r="E11" s="343">
        <v>31320000</v>
      </c>
      <c r="F11" s="343">
        <f>1800000+2160000+4080000+2400000+1620000+600000+2400000+2040000+10200000+170000</f>
        <v>27470000</v>
      </c>
      <c r="G11" s="346">
        <f t="shared" si="0"/>
        <v>-3850000</v>
      </c>
      <c r="H11" s="180" t="s">
        <v>137</v>
      </c>
      <c r="I11" s="86"/>
      <c r="J11" s="64"/>
      <c r="K11" s="49"/>
    </row>
    <row r="12" spans="2:11" s="1" customFormat="1" ht="97.5" customHeight="1">
      <c r="B12" s="20"/>
      <c r="C12" s="20"/>
      <c r="D12" s="358"/>
      <c r="E12" s="344"/>
      <c r="F12" s="344"/>
      <c r="G12" s="346"/>
      <c r="H12" s="181" t="s">
        <v>138</v>
      </c>
      <c r="I12" s="86"/>
      <c r="J12" s="64"/>
      <c r="K12" s="49"/>
    </row>
    <row r="13" spans="2:10" s="6" customFormat="1" ht="48.75" customHeight="1" thickBot="1">
      <c r="B13" s="15"/>
      <c r="C13" s="15"/>
      <c r="D13" s="364"/>
      <c r="E13" s="345"/>
      <c r="F13" s="345"/>
      <c r="G13" s="347"/>
      <c r="H13" s="181" t="s">
        <v>139</v>
      </c>
      <c r="I13" s="87"/>
      <c r="J13" s="64">
        <f>F11-E11</f>
        <v>-3850000</v>
      </c>
    </row>
    <row r="14" spans="2:10" s="6" customFormat="1" ht="41.25" customHeight="1" thickBot="1">
      <c r="B14" s="54" t="s">
        <v>42</v>
      </c>
      <c r="C14" s="54" t="s">
        <v>3</v>
      </c>
      <c r="D14" s="140" t="s">
        <v>66</v>
      </c>
      <c r="E14" s="144">
        <f>E15+E16</f>
        <v>6040000</v>
      </c>
      <c r="F14" s="144">
        <f>F15+F16</f>
        <v>8740005</v>
      </c>
      <c r="G14" s="292">
        <f aca="true" t="shared" si="1" ref="G14:G19">F14-E14</f>
        <v>2700005</v>
      </c>
      <c r="H14" s="124"/>
      <c r="I14" s="85"/>
      <c r="J14" s="64">
        <f aca="true" t="shared" si="2" ref="J14:J19">F14-E14</f>
        <v>2700005</v>
      </c>
    </row>
    <row r="15" spans="2:10" s="6" customFormat="1" ht="65.25" customHeight="1" thickBot="1">
      <c r="B15" s="130"/>
      <c r="C15" s="316"/>
      <c r="D15" s="130" t="s">
        <v>31</v>
      </c>
      <c r="E15" s="168">
        <f>170000*12+2000000</f>
        <v>4040000</v>
      </c>
      <c r="F15" s="168">
        <f>3000000+400005+200000+420000+2720000</f>
        <v>6740005</v>
      </c>
      <c r="G15" s="315">
        <f t="shared" si="1"/>
        <v>2700005</v>
      </c>
      <c r="H15" s="255" t="s">
        <v>177</v>
      </c>
      <c r="I15" s="85"/>
      <c r="J15" s="64">
        <f t="shared" si="2"/>
        <v>2700005</v>
      </c>
    </row>
    <row r="16" spans="2:10" s="6" customFormat="1" ht="38.25" customHeight="1" thickBot="1">
      <c r="B16" s="130"/>
      <c r="C16" s="224"/>
      <c r="D16" s="130" t="s">
        <v>44</v>
      </c>
      <c r="E16" s="168">
        <v>2000000</v>
      </c>
      <c r="F16" s="168">
        <f>2000000</f>
        <v>2000000</v>
      </c>
      <c r="G16" s="207">
        <f t="shared" si="1"/>
        <v>0</v>
      </c>
      <c r="H16" s="94" t="s">
        <v>112</v>
      </c>
      <c r="I16" s="85"/>
      <c r="J16" s="64">
        <f t="shared" si="2"/>
        <v>0</v>
      </c>
    </row>
    <row r="17" spans="2:10" s="6" customFormat="1" ht="49.5" customHeight="1" thickBot="1">
      <c r="B17" s="54" t="s">
        <v>90</v>
      </c>
      <c r="C17" s="222" t="s">
        <v>90</v>
      </c>
      <c r="D17" s="138" t="s">
        <v>66</v>
      </c>
      <c r="E17" s="144">
        <f>E18+E19</f>
        <v>1030920000</v>
      </c>
      <c r="F17" s="144">
        <f>F18+F19</f>
        <v>980934040</v>
      </c>
      <c r="G17" s="284">
        <f t="shared" si="1"/>
        <v>-49985960</v>
      </c>
      <c r="H17" s="124"/>
      <c r="I17" s="85"/>
      <c r="J17" s="64">
        <f t="shared" si="2"/>
        <v>-49985960</v>
      </c>
    </row>
    <row r="18" spans="2:16" s="6" customFormat="1" ht="46.5" customHeight="1">
      <c r="B18" s="20"/>
      <c r="C18" s="223"/>
      <c r="D18" s="54" t="s">
        <v>92</v>
      </c>
      <c r="E18" s="243">
        <f>804000000+139200000+13920000</f>
        <v>957120000</v>
      </c>
      <c r="F18" s="243">
        <f>686013340+131222320+13260000+75000000</f>
        <v>905495660</v>
      </c>
      <c r="G18" s="295">
        <f t="shared" si="1"/>
        <v>-51624340</v>
      </c>
      <c r="H18" s="244" t="s">
        <v>142</v>
      </c>
      <c r="I18" s="87"/>
      <c r="J18" s="64">
        <f t="shared" si="2"/>
        <v>-51624340</v>
      </c>
      <c r="K18" s="97"/>
      <c r="L18" s="43">
        <f>K18-F18</f>
        <v>-905495660</v>
      </c>
      <c r="M18" s="97"/>
      <c r="N18" s="97"/>
      <c r="O18" s="97"/>
      <c r="P18" s="43"/>
    </row>
    <row r="19" spans="2:16" s="6" customFormat="1" ht="60" customHeight="1" thickBot="1">
      <c r="B19" s="130"/>
      <c r="C19" s="130"/>
      <c r="D19" s="150" t="s">
        <v>78</v>
      </c>
      <c r="E19" s="151">
        <f>62400000+11400000</f>
        <v>73800000</v>
      </c>
      <c r="F19" s="151">
        <f>59309240+11129140+5000000</f>
        <v>75438380</v>
      </c>
      <c r="G19" s="291">
        <f t="shared" si="1"/>
        <v>1638380</v>
      </c>
      <c r="H19" s="99" t="s">
        <v>143</v>
      </c>
      <c r="I19" s="87"/>
      <c r="J19" s="64">
        <f t="shared" si="2"/>
        <v>1638380</v>
      </c>
      <c r="K19" s="97"/>
      <c r="L19" s="43"/>
      <c r="M19" s="97"/>
      <c r="N19" s="97"/>
      <c r="O19" s="97"/>
      <c r="P19" s="43"/>
    </row>
    <row r="20" spans="2:16" s="6" customFormat="1" ht="49.5" customHeight="1" thickBot="1">
      <c r="B20" s="54" t="s">
        <v>53</v>
      </c>
      <c r="C20" s="54" t="s">
        <v>54</v>
      </c>
      <c r="D20" s="135" t="s">
        <v>66</v>
      </c>
      <c r="E20" s="143">
        <f>E21</f>
        <v>0</v>
      </c>
      <c r="F20" s="143">
        <f>F21</f>
        <v>4000000</v>
      </c>
      <c r="G20" s="296">
        <f aca="true" t="shared" si="3" ref="G20:G30">F20-E20</f>
        <v>4000000</v>
      </c>
      <c r="H20" s="109" t="s">
        <v>68</v>
      </c>
      <c r="I20" s="85"/>
      <c r="J20" s="64">
        <f aca="true" t="shared" si="4" ref="J20:J27">F20-E20</f>
        <v>4000000</v>
      </c>
      <c r="K20" s="48"/>
      <c r="L20" s="48"/>
      <c r="M20" s="48"/>
      <c r="N20" s="48"/>
      <c r="O20" s="48"/>
      <c r="P20" s="48"/>
    </row>
    <row r="21" spans="2:16" s="6" customFormat="1" ht="42" customHeight="1" thickBot="1">
      <c r="B21" s="130"/>
      <c r="C21" s="130"/>
      <c r="D21" s="137" t="s">
        <v>79</v>
      </c>
      <c r="E21" s="136">
        <v>0</v>
      </c>
      <c r="F21" s="136">
        <f>4000000</f>
        <v>4000000</v>
      </c>
      <c r="G21" s="269">
        <f t="shared" si="3"/>
        <v>4000000</v>
      </c>
      <c r="H21" s="126" t="s">
        <v>103</v>
      </c>
      <c r="I21" s="85"/>
      <c r="J21" s="64"/>
      <c r="K21" s="48"/>
      <c r="L21" s="48"/>
      <c r="M21" s="48"/>
      <c r="N21" s="48"/>
      <c r="O21" s="48"/>
      <c r="P21" s="48"/>
    </row>
    <row r="22" spans="2:11" s="6" customFormat="1" ht="49.5" customHeight="1" thickBot="1">
      <c r="B22" s="34" t="s">
        <v>4</v>
      </c>
      <c r="C22" s="34" t="s">
        <v>4</v>
      </c>
      <c r="D22" s="140" t="s">
        <v>66</v>
      </c>
      <c r="E22" s="144">
        <f>E23+E24</f>
        <v>260172538</v>
      </c>
      <c r="F22" s="144">
        <f>F23+F24</f>
        <v>260172538</v>
      </c>
      <c r="G22" s="213">
        <f t="shared" si="3"/>
        <v>0</v>
      </c>
      <c r="H22" s="126" t="s">
        <v>68</v>
      </c>
      <c r="I22" s="85"/>
      <c r="J22" s="64">
        <f t="shared" si="4"/>
        <v>0</v>
      </c>
      <c r="K22" s="48"/>
    </row>
    <row r="23" spans="2:11" s="6" customFormat="1" ht="47.25" customHeight="1">
      <c r="B23" s="15"/>
      <c r="C23" s="15"/>
      <c r="D23" s="139" t="s">
        <v>69</v>
      </c>
      <c r="E23" s="149">
        <f>260021318</f>
        <v>260021318</v>
      </c>
      <c r="F23" s="149">
        <f>260021318</f>
        <v>260021318</v>
      </c>
      <c r="G23" s="270">
        <f t="shared" si="3"/>
        <v>0</v>
      </c>
      <c r="H23" s="107"/>
      <c r="I23" s="85"/>
      <c r="J23" s="64"/>
      <c r="K23" s="48"/>
    </row>
    <row r="24" spans="2:15" s="6" customFormat="1" ht="45.75" customHeight="1" thickBot="1">
      <c r="B24" s="15"/>
      <c r="C24" s="15"/>
      <c r="D24" s="131" t="s">
        <v>70</v>
      </c>
      <c r="E24" s="145">
        <v>151220</v>
      </c>
      <c r="F24" s="145">
        <v>151220</v>
      </c>
      <c r="G24" s="236">
        <f t="shared" si="3"/>
        <v>0</v>
      </c>
      <c r="H24" s="141"/>
      <c r="I24" s="85"/>
      <c r="J24" s="64">
        <f t="shared" si="4"/>
        <v>0</v>
      </c>
      <c r="K24" s="97"/>
      <c r="O24" s="97">
        <v>1362575</v>
      </c>
    </row>
    <row r="25" spans="2:15" s="6" customFormat="1" ht="49.5" customHeight="1" thickBot="1">
      <c r="B25" s="34" t="s">
        <v>12</v>
      </c>
      <c r="C25" s="34" t="s">
        <v>12</v>
      </c>
      <c r="D25" s="140" t="s">
        <v>66</v>
      </c>
      <c r="E25" s="144">
        <f>E26+E27</f>
        <v>2385321</v>
      </c>
      <c r="F25" s="144">
        <f>F26+F27</f>
        <v>1373162</v>
      </c>
      <c r="G25" s="267">
        <f t="shared" si="3"/>
        <v>-1012159</v>
      </c>
      <c r="H25" s="126" t="s">
        <v>68</v>
      </c>
      <c r="I25" s="85"/>
      <c r="J25" s="64">
        <f t="shared" si="4"/>
        <v>-1012159</v>
      </c>
      <c r="K25" s="43"/>
      <c r="O25" s="97">
        <v>210009</v>
      </c>
    </row>
    <row r="26" spans="2:15" s="6" customFormat="1" ht="42" customHeight="1">
      <c r="B26" s="15"/>
      <c r="C26" s="15"/>
      <c r="D26" s="16" t="s">
        <v>13</v>
      </c>
      <c r="E26" s="60">
        <f>2000000+17820</f>
        <v>2017820</v>
      </c>
      <c r="F26" s="60">
        <f>892670+289223</f>
        <v>1181893</v>
      </c>
      <c r="G26" s="294">
        <f t="shared" si="3"/>
        <v>-835927</v>
      </c>
      <c r="H26" s="23" t="s">
        <v>186</v>
      </c>
      <c r="I26" s="85"/>
      <c r="J26" s="64">
        <f t="shared" si="4"/>
        <v>-835927</v>
      </c>
      <c r="K26" s="43"/>
      <c r="O26" s="97"/>
    </row>
    <row r="27" spans="2:15" s="6" customFormat="1" ht="48.75" customHeight="1" thickBot="1">
      <c r="B27" s="101"/>
      <c r="C27" s="101"/>
      <c r="D27" s="150" t="s">
        <v>29</v>
      </c>
      <c r="E27" s="151">
        <f>250000+117501</f>
        <v>367501</v>
      </c>
      <c r="F27" s="151">
        <f>480492-289223</f>
        <v>191269</v>
      </c>
      <c r="G27" s="321">
        <f>F27-E27</f>
        <v>-176232</v>
      </c>
      <c r="H27" s="98" t="s">
        <v>187</v>
      </c>
      <c r="I27" s="88"/>
      <c r="J27" s="64">
        <f t="shared" si="4"/>
        <v>-176232</v>
      </c>
      <c r="O27" s="43">
        <f>SUM(O24:O25)</f>
        <v>1572584</v>
      </c>
    </row>
    <row r="28" spans="2:15" s="6" customFormat="1" ht="51.75" customHeight="1" thickBot="1">
      <c r="B28" s="359" t="s">
        <v>117</v>
      </c>
      <c r="C28" s="361" t="s">
        <v>116</v>
      </c>
      <c r="D28" s="140" t="s">
        <v>66</v>
      </c>
      <c r="E28" s="144">
        <f>E29+E30</f>
        <v>76000000</v>
      </c>
      <c r="F28" s="144">
        <f>F29+F30</f>
        <v>76000000</v>
      </c>
      <c r="G28" s="285">
        <f t="shared" si="3"/>
        <v>0</v>
      </c>
      <c r="H28" s="126" t="s">
        <v>68</v>
      </c>
      <c r="I28" s="88"/>
      <c r="J28" s="64"/>
      <c r="O28" s="43"/>
    </row>
    <row r="29" spans="2:15" s="6" customFormat="1" ht="51.75" customHeight="1" thickBot="1">
      <c r="B29" s="360"/>
      <c r="C29" s="362"/>
      <c r="D29" s="137" t="s">
        <v>114</v>
      </c>
      <c r="E29" s="136">
        <v>73000000</v>
      </c>
      <c r="F29" s="136">
        <v>73000000</v>
      </c>
      <c r="G29" s="285">
        <f t="shared" si="3"/>
        <v>0</v>
      </c>
      <c r="H29" s="320" t="s">
        <v>144</v>
      </c>
      <c r="I29" s="88"/>
      <c r="J29" s="64"/>
      <c r="O29" s="43"/>
    </row>
    <row r="30" spans="2:8" ht="41.25" thickBot="1">
      <c r="B30" s="242"/>
      <c r="C30" s="241"/>
      <c r="D30" s="317" t="s">
        <v>115</v>
      </c>
      <c r="E30" s="318">
        <v>3000000</v>
      </c>
      <c r="F30" s="318">
        <v>3000000</v>
      </c>
      <c r="G30" s="207">
        <f t="shared" si="3"/>
        <v>0</v>
      </c>
      <c r="H30" s="319" t="s">
        <v>145</v>
      </c>
    </row>
    <row r="31" spans="7:9" ht="13.5">
      <c r="G31" s="61"/>
      <c r="H31" s="31"/>
      <c r="I31" s="31"/>
    </row>
    <row r="32" spans="6:7" ht="13.5">
      <c r="F32" s="58"/>
      <c r="G32" s="62"/>
    </row>
    <row r="33" spans="7:9" ht="13.5">
      <c r="G33" s="61"/>
      <c r="H33" s="31"/>
      <c r="I33" s="31"/>
    </row>
    <row r="34" ht="13.5">
      <c r="G34" s="62"/>
    </row>
    <row r="35" ht="13.5">
      <c r="G35" s="63"/>
    </row>
    <row r="36" ht="13.5">
      <c r="G36" s="61"/>
    </row>
    <row r="37" ht="13.5">
      <c r="G37" s="61"/>
    </row>
    <row r="38" spans="6:7" ht="13.5">
      <c r="F38" s="58"/>
      <c r="G38" s="61"/>
    </row>
    <row r="39" ht="13.5">
      <c r="G39" s="61"/>
    </row>
    <row r="40" ht="13.5">
      <c r="G40" s="61"/>
    </row>
    <row r="41" ht="13.5">
      <c r="G41" s="61"/>
    </row>
    <row r="42" ht="13.5">
      <c r="G42" s="61"/>
    </row>
    <row r="43" ht="13.5">
      <c r="G43" s="61"/>
    </row>
    <row r="44" ht="13.5">
      <c r="G44" s="61"/>
    </row>
    <row r="45" ht="13.5">
      <c r="G45" s="61"/>
    </row>
    <row r="46" ht="13.5">
      <c r="G46" s="61"/>
    </row>
    <row r="47" ht="13.5">
      <c r="G47" s="61"/>
    </row>
    <row r="48" ht="13.5">
      <c r="G48" s="61"/>
    </row>
    <row r="49" ht="13.5">
      <c r="G49" s="61"/>
    </row>
    <row r="50" ht="13.5">
      <c r="G50" s="61"/>
    </row>
    <row r="51" ht="13.5">
      <c r="G51" s="61"/>
    </row>
    <row r="52" ht="13.5">
      <c r="G52" s="61"/>
    </row>
    <row r="53" ht="13.5">
      <c r="G53" s="61"/>
    </row>
    <row r="54" ht="13.5">
      <c r="G54" s="61"/>
    </row>
    <row r="55" ht="13.5">
      <c r="G55" s="61"/>
    </row>
    <row r="56" ht="13.5">
      <c r="G56" s="61"/>
    </row>
    <row r="57" ht="13.5">
      <c r="G57" s="61"/>
    </row>
    <row r="58" ht="13.5">
      <c r="G58" s="61"/>
    </row>
    <row r="59" ht="13.5">
      <c r="G59" s="61"/>
    </row>
    <row r="60" ht="13.5">
      <c r="G60" s="61"/>
    </row>
    <row r="61" ht="13.5">
      <c r="G61" s="61"/>
    </row>
    <row r="62" ht="13.5">
      <c r="G62" s="61"/>
    </row>
    <row r="63" ht="13.5">
      <c r="G63" s="61"/>
    </row>
    <row r="109" ht="13.5">
      <c r="H109" t="s">
        <v>15</v>
      </c>
    </row>
  </sheetData>
  <sheetProtection/>
  <mergeCells count="13">
    <mergeCell ref="B28:B29"/>
    <mergeCell ref="C28:C29"/>
    <mergeCell ref="E4:E5"/>
    <mergeCell ref="C7:C8"/>
    <mergeCell ref="D11:D13"/>
    <mergeCell ref="E11:E13"/>
    <mergeCell ref="F11:F13"/>
    <mergeCell ref="G11:G13"/>
    <mergeCell ref="H4:H5"/>
    <mergeCell ref="G4:G5"/>
    <mergeCell ref="F4:F5"/>
    <mergeCell ref="B4:D4"/>
    <mergeCell ref="B7:B8"/>
  </mergeCells>
  <printOptions/>
  <pageMargins left="0" right="0" top="0.984251968503937" bottom="0.15748031496062992" header="0.31496062992125984" footer="0.31496062992125984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103"/>
  <sheetViews>
    <sheetView zoomScalePageLayoutView="0" workbookViewId="0" topLeftCell="A20">
      <selection activeCell="B2" sqref="B2:I76"/>
    </sheetView>
  </sheetViews>
  <sheetFormatPr defaultColWidth="8.88671875" defaultRowHeight="13.5"/>
  <cols>
    <col min="1" max="1" width="1.4375" style="0" customWidth="1"/>
    <col min="2" max="2" width="5.4453125" style="0" customWidth="1"/>
    <col min="3" max="3" width="5.6640625" style="0" customWidth="1"/>
    <col min="4" max="4" width="7.77734375" style="0" customWidth="1"/>
    <col min="5" max="5" width="12.5546875" style="0" hidden="1" customWidth="1"/>
    <col min="6" max="7" width="14.3359375" style="0" customWidth="1"/>
    <col min="8" max="8" width="14.77734375" style="0" customWidth="1"/>
    <col min="9" max="9" width="28.4453125" style="0" customWidth="1"/>
    <col min="10" max="10" width="20.77734375" style="66" customWidth="1"/>
    <col min="11" max="11" width="17.99609375" style="31" customWidth="1"/>
    <col min="12" max="12" width="12.77734375" style="0" bestFit="1" customWidth="1"/>
    <col min="13" max="13" width="10.6640625" style="0" bestFit="1" customWidth="1"/>
    <col min="14" max="14" width="9.99609375" style="0" bestFit="1" customWidth="1"/>
    <col min="15" max="16" width="8.99609375" style="0" bestFit="1" customWidth="1"/>
    <col min="17" max="17" width="9.99609375" style="0" bestFit="1" customWidth="1"/>
    <col min="18" max="18" width="10.10546875" style="0" bestFit="1" customWidth="1"/>
  </cols>
  <sheetData>
    <row r="2" spans="2:4" ht="22.5" customHeight="1">
      <c r="B2" s="148" t="s">
        <v>50</v>
      </c>
      <c r="C2" s="178"/>
      <c r="D2" s="178"/>
    </row>
    <row r="3" spans="1:9" ht="17.25" customHeight="1">
      <c r="A3" t="s">
        <v>57</v>
      </c>
      <c r="B3" s="22"/>
      <c r="C3" s="22"/>
      <c r="D3" s="38"/>
      <c r="E3" s="22"/>
      <c r="F3" s="22"/>
      <c r="G3" s="22"/>
      <c r="H3" s="22"/>
      <c r="I3" s="46" t="s">
        <v>5</v>
      </c>
    </row>
    <row r="4" spans="2:9" ht="18.75" customHeight="1" thickBot="1">
      <c r="B4" s="22"/>
      <c r="C4" s="22"/>
      <c r="D4" s="38"/>
      <c r="E4" s="22"/>
      <c r="F4" s="22"/>
      <c r="G4" s="22"/>
      <c r="H4" s="22"/>
      <c r="I4" s="46"/>
    </row>
    <row r="5" spans="2:9" ht="16.5" customHeight="1" thickBot="1">
      <c r="B5" s="12"/>
      <c r="C5" s="9" t="s">
        <v>6</v>
      </c>
      <c r="D5" s="79"/>
      <c r="E5" s="352" t="s">
        <v>16</v>
      </c>
      <c r="F5" s="352" t="s">
        <v>105</v>
      </c>
      <c r="G5" s="352" t="s">
        <v>120</v>
      </c>
      <c r="H5" s="372" t="s">
        <v>2</v>
      </c>
      <c r="I5" s="348" t="s">
        <v>7</v>
      </c>
    </row>
    <row r="6" spans="2:9" ht="23.25" customHeight="1" thickBot="1">
      <c r="B6" s="25" t="s">
        <v>8</v>
      </c>
      <c r="C6" s="25" t="s">
        <v>9</v>
      </c>
      <c r="D6" s="26" t="s">
        <v>10</v>
      </c>
      <c r="E6" s="353"/>
      <c r="F6" s="353"/>
      <c r="G6" s="353"/>
      <c r="H6" s="373"/>
      <c r="I6" s="349"/>
    </row>
    <row r="7" spans="2:10" ht="36.75" customHeight="1" thickBot="1">
      <c r="B7" s="25"/>
      <c r="C7" s="25"/>
      <c r="D7" s="83" t="s">
        <v>14</v>
      </c>
      <c r="E7" s="33" t="e">
        <f>E8+E42+E46+E61+#REF!+E63+E73+E75</f>
        <v>#REF!</v>
      </c>
      <c r="F7" s="33">
        <f>F8+F42+F46+F61+F63+F73+F75</f>
        <v>1525237859</v>
      </c>
      <c r="G7" s="33">
        <f>G8+G42+G46+G61+G63+G73+G75</f>
        <v>1454975915</v>
      </c>
      <c r="H7" s="265">
        <f>G7-F7</f>
        <v>-70261944</v>
      </c>
      <c r="I7" s="122"/>
      <c r="J7" s="67">
        <f>G7-F7</f>
        <v>-70261944</v>
      </c>
    </row>
    <row r="8" spans="2:10" ht="32.25" customHeight="1" thickBot="1">
      <c r="B8" s="370" t="s">
        <v>83</v>
      </c>
      <c r="C8" s="370" t="s">
        <v>84</v>
      </c>
      <c r="D8" s="83" t="s">
        <v>11</v>
      </c>
      <c r="E8" s="27" t="e">
        <f>#REF!+#REF!+#REF!+#REF!+#REF!+#REF!+#REF!+#REF!</f>
        <v>#REF!</v>
      </c>
      <c r="F8" s="33">
        <f>F9+F21+F26+F31+F33</f>
        <v>1058453510</v>
      </c>
      <c r="G8" s="33">
        <f>G9+G21+G26+G31+G33</f>
        <v>1002561820</v>
      </c>
      <c r="H8" s="265">
        <f>G8-F8</f>
        <v>-55891690</v>
      </c>
      <c r="I8" s="122"/>
      <c r="J8" s="67">
        <f>G8-F8</f>
        <v>-55891690</v>
      </c>
    </row>
    <row r="9" spans="2:14" ht="32.25" customHeight="1">
      <c r="B9" s="369"/>
      <c r="C9" s="369"/>
      <c r="D9" s="15" t="s">
        <v>85</v>
      </c>
      <c r="E9" s="78"/>
      <c r="F9" s="167">
        <v>842780000</v>
      </c>
      <c r="G9" s="167">
        <f>37003000+35449000+26432000+26432000+45360000+24600000+22920000+574123590+1133000+1704960</f>
        <v>795157550</v>
      </c>
      <c r="H9" s="286">
        <f>G9-F9</f>
        <v>-47622450</v>
      </c>
      <c r="I9" s="11" t="s">
        <v>150</v>
      </c>
      <c r="J9" s="67">
        <f>G9-F9</f>
        <v>-47622450</v>
      </c>
      <c r="K9" s="103"/>
      <c r="L9" s="31">
        <f>G9-F9</f>
        <v>-47622450</v>
      </c>
      <c r="N9" s="31"/>
    </row>
    <row r="10" spans="2:12" ht="26.25" customHeight="1">
      <c r="B10" s="369"/>
      <c r="C10" s="369"/>
      <c r="D10" s="15"/>
      <c r="E10" s="78"/>
      <c r="F10" s="208"/>
      <c r="G10" s="209"/>
      <c r="H10" s="210"/>
      <c r="I10" s="11" t="s">
        <v>106</v>
      </c>
      <c r="J10" s="67"/>
      <c r="K10" s="103"/>
      <c r="L10" s="31">
        <f aca="true" t="shared" si="0" ref="L10:L21">G10-F10</f>
        <v>0</v>
      </c>
    </row>
    <row r="11" spans="2:12" ht="30" customHeight="1">
      <c r="B11" s="369"/>
      <c r="C11" s="369"/>
      <c r="D11" s="15"/>
      <c r="E11" s="78"/>
      <c r="F11" s="208"/>
      <c r="G11" s="209"/>
      <c r="H11" s="210"/>
      <c r="I11" s="11" t="s">
        <v>108</v>
      </c>
      <c r="J11" s="67"/>
      <c r="L11" s="31">
        <f t="shared" si="0"/>
        <v>0</v>
      </c>
    </row>
    <row r="12" spans="2:12" ht="23.25" customHeight="1">
      <c r="B12" s="369"/>
      <c r="C12" s="369"/>
      <c r="D12" s="15"/>
      <c r="E12" s="78"/>
      <c r="F12" s="208"/>
      <c r="G12" s="209"/>
      <c r="H12" s="210"/>
      <c r="I12" s="11" t="s">
        <v>107</v>
      </c>
      <c r="J12" s="67"/>
      <c r="L12" s="31">
        <f t="shared" si="0"/>
        <v>0</v>
      </c>
    </row>
    <row r="13" spans="2:15" s="1" customFormat="1" ht="39.75" customHeight="1">
      <c r="B13" s="369"/>
      <c r="C13" s="369"/>
      <c r="D13" s="15"/>
      <c r="E13" s="24"/>
      <c r="F13" s="32"/>
      <c r="G13" s="89"/>
      <c r="H13" s="203"/>
      <c r="I13" s="11" t="s">
        <v>151</v>
      </c>
      <c r="J13" s="68"/>
      <c r="K13" s="36"/>
      <c r="L13" s="31">
        <f t="shared" si="0"/>
        <v>0</v>
      </c>
      <c r="O13" s="129"/>
    </row>
    <row r="14" spans="2:15" s="1" customFormat="1" ht="21" customHeight="1">
      <c r="B14" s="369"/>
      <c r="C14" s="369"/>
      <c r="D14" s="15"/>
      <c r="E14" s="24"/>
      <c r="F14" s="32"/>
      <c r="G14" s="89"/>
      <c r="H14" s="203"/>
      <c r="I14" s="11" t="s">
        <v>109</v>
      </c>
      <c r="J14" s="68"/>
      <c r="K14" s="36"/>
      <c r="L14" s="31">
        <f t="shared" si="0"/>
        <v>0</v>
      </c>
      <c r="O14" s="129"/>
    </row>
    <row r="15" spans="2:15" s="1" customFormat="1" ht="30.75" customHeight="1">
      <c r="B15" s="369"/>
      <c r="C15" s="369"/>
      <c r="D15" s="15"/>
      <c r="E15" s="24"/>
      <c r="F15" s="32"/>
      <c r="G15" s="89"/>
      <c r="H15" s="203"/>
      <c r="I15" s="11" t="s">
        <v>119</v>
      </c>
      <c r="J15" s="68"/>
      <c r="K15" s="36"/>
      <c r="L15" s="31">
        <f t="shared" si="0"/>
        <v>0</v>
      </c>
      <c r="O15" s="129"/>
    </row>
    <row r="16" spans="2:15" s="1" customFormat="1" ht="22.5" customHeight="1">
      <c r="B16" s="369"/>
      <c r="C16" s="369"/>
      <c r="D16" s="15"/>
      <c r="E16" s="24"/>
      <c r="F16" s="32"/>
      <c r="G16" s="89"/>
      <c r="H16" s="203"/>
      <c r="I16" s="11" t="s">
        <v>110</v>
      </c>
      <c r="J16" s="68"/>
      <c r="K16" s="36"/>
      <c r="L16" s="31">
        <f t="shared" si="0"/>
        <v>0</v>
      </c>
      <c r="O16" s="129"/>
    </row>
    <row r="17" spans="2:12" s="1" customFormat="1" ht="42.75" customHeight="1">
      <c r="B17" s="369"/>
      <c r="C17" s="369"/>
      <c r="D17" s="15"/>
      <c r="E17" s="24"/>
      <c r="F17" s="32"/>
      <c r="G17" s="89"/>
      <c r="H17" s="203"/>
      <c r="I17" s="11" t="s">
        <v>149</v>
      </c>
      <c r="J17" s="68"/>
      <c r="K17" s="36"/>
      <c r="L17" s="31">
        <f t="shared" si="0"/>
        <v>0</v>
      </c>
    </row>
    <row r="18" spans="2:12" s="1" customFormat="1" ht="64.5" customHeight="1">
      <c r="B18" s="369"/>
      <c r="C18" s="369"/>
      <c r="D18" s="15"/>
      <c r="E18" s="24"/>
      <c r="F18" s="32"/>
      <c r="G18" s="89"/>
      <c r="H18" s="203"/>
      <c r="I18" s="214" t="s">
        <v>152</v>
      </c>
      <c r="J18" s="92"/>
      <c r="K18" s="36"/>
      <c r="L18" s="31">
        <f t="shared" si="0"/>
        <v>0</v>
      </c>
    </row>
    <row r="19" spans="2:12" s="1" customFormat="1" ht="64.5" customHeight="1">
      <c r="B19" s="369"/>
      <c r="C19" s="369"/>
      <c r="D19" s="15"/>
      <c r="E19" s="24"/>
      <c r="F19" s="32"/>
      <c r="G19" s="89"/>
      <c r="H19" s="203"/>
      <c r="I19" s="214" t="s">
        <v>146</v>
      </c>
      <c r="J19" s="92"/>
      <c r="K19" s="36"/>
      <c r="L19" s="31">
        <f t="shared" si="0"/>
        <v>0</v>
      </c>
    </row>
    <row r="20" spans="2:12" s="1" customFormat="1" ht="27.75" customHeight="1">
      <c r="B20" s="369"/>
      <c r="C20" s="369"/>
      <c r="D20" s="15"/>
      <c r="E20" s="24"/>
      <c r="F20" s="32"/>
      <c r="G20" s="89"/>
      <c r="H20" s="203"/>
      <c r="I20" s="214" t="s">
        <v>153</v>
      </c>
      <c r="J20" s="92"/>
      <c r="K20" s="36"/>
      <c r="L20" s="31">
        <f t="shared" si="0"/>
        <v>0</v>
      </c>
    </row>
    <row r="21" spans="2:13" s="1" customFormat="1" ht="26.25" customHeight="1">
      <c r="B21" s="369"/>
      <c r="C21" s="369"/>
      <c r="D21" s="113" t="s">
        <v>76</v>
      </c>
      <c r="E21" s="118"/>
      <c r="F21" s="121">
        <v>77357320</v>
      </c>
      <c r="G21" s="121">
        <f>27470000+480000+21887320+16917720+9400000+2365140</f>
        <v>78520180</v>
      </c>
      <c r="H21" s="323">
        <f>G21-F21</f>
        <v>1162860</v>
      </c>
      <c r="I21" s="247" t="s">
        <v>122</v>
      </c>
      <c r="J21" s="92">
        <f>G21-F21</f>
        <v>1162860</v>
      </c>
      <c r="K21" s="36">
        <f>58397460+3205000+16917720</f>
        <v>78520180</v>
      </c>
      <c r="L21" s="31">
        <f t="shared" si="0"/>
        <v>1162860</v>
      </c>
      <c r="M21" s="36">
        <f>G21-3055000</f>
        <v>75465180</v>
      </c>
    </row>
    <row r="22" spans="2:11" s="1" customFormat="1" ht="190.5" customHeight="1">
      <c r="B22" s="369"/>
      <c r="C22" s="369"/>
      <c r="D22" s="20"/>
      <c r="E22" s="119"/>
      <c r="F22" s="89"/>
      <c r="G22" s="89"/>
      <c r="H22" s="215"/>
      <c r="I22" s="246" t="s">
        <v>174</v>
      </c>
      <c r="J22" s="92"/>
      <c r="K22" s="36"/>
    </row>
    <row r="23" spans="2:21" s="1" customFormat="1" ht="40.5" customHeight="1" thickBot="1">
      <c r="B23" s="371"/>
      <c r="C23" s="371"/>
      <c r="D23" s="101"/>
      <c r="E23" s="127"/>
      <c r="F23" s="120"/>
      <c r="G23" s="128"/>
      <c r="H23" s="204"/>
      <c r="I23" s="248" t="s">
        <v>95</v>
      </c>
      <c r="J23" s="92"/>
      <c r="K23" s="36"/>
      <c r="O23" s="129"/>
      <c r="P23" s="129"/>
      <c r="Q23" s="36"/>
      <c r="R23" s="36"/>
      <c r="S23" s="36"/>
      <c r="T23" s="36"/>
      <c r="U23" s="36"/>
    </row>
    <row r="24" spans="2:21" s="1" customFormat="1" ht="97.5" customHeight="1">
      <c r="B24" s="377" t="s">
        <v>83</v>
      </c>
      <c r="C24" s="370" t="s">
        <v>84</v>
      </c>
      <c r="D24" s="388" t="s">
        <v>75</v>
      </c>
      <c r="E24" s="256"/>
      <c r="F24" s="257"/>
      <c r="G24" s="258"/>
      <c r="H24" s="259"/>
      <c r="I24" s="260" t="s">
        <v>124</v>
      </c>
      <c r="J24" s="92"/>
      <c r="K24" s="1">
        <f>3287980+3424860+2562240+2562240+4000000+6050000</f>
        <v>21887320</v>
      </c>
      <c r="O24" s="129"/>
      <c r="P24" s="129"/>
      <c r="Q24" s="36"/>
      <c r="R24" s="36"/>
      <c r="S24" s="36"/>
      <c r="T24" s="36"/>
      <c r="U24" s="36"/>
    </row>
    <row r="25" spans="2:21" s="1" customFormat="1" ht="81.75" customHeight="1" thickBot="1">
      <c r="B25" s="378"/>
      <c r="C25" s="369"/>
      <c r="D25" s="389"/>
      <c r="E25" s="127"/>
      <c r="F25" s="106"/>
      <c r="G25" s="89"/>
      <c r="H25" s="203"/>
      <c r="I25" s="10" t="s">
        <v>111</v>
      </c>
      <c r="J25" s="92"/>
      <c r="O25" s="129"/>
      <c r="P25" s="129"/>
      <c r="Q25" s="36"/>
      <c r="R25" s="36"/>
      <c r="S25" s="36"/>
      <c r="T25" s="36"/>
      <c r="U25" s="36"/>
    </row>
    <row r="26" spans="2:21" s="1" customFormat="1" ht="57" customHeight="1">
      <c r="B26" s="378"/>
      <c r="C26" s="369"/>
      <c r="D26" s="389"/>
      <c r="E26" s="217"/>
      <c r="F26" s="89"/>
      <c r="G26" s="89"/>
      <c r="H26" s="89"/>
      <c r="I26" s="246" t="s">
        <v>94</v>
      </c>
      <c r="J26" s="165"/>
      <c r="K26" s="36"/>
      <c r="O26" s="129"/>
      <c r="P26" s="129"/>
      <c r="Q26" s="36"/>
      <c r="R26" s="36"/>
      <c r="S26" s="36"/>
      <c r="T26" s="36"/>
      <c r="U26" s="36"/>
    </row>
    <row r="27" spans="2:21" s="1" customFormat="1" ht="40.5" customHeight="1">
      <c r="B27" s="378"/>
      <c r="C27" s="369"/>
      <c r="D27" s="389"/>
      <c r="E27" s="105"/>
      <c r="F27" s="89"/>
      <c r="G27" s="89"/>
      <c r="H27" s="89"/>
      <c r="I27" s="214" t="s">
        <v>123</v>
      </c>
      <c r="J27" s="68"/>
      <c r="K27" s="36"/>
      <c r="O27" s="129"/>
      <c r="P27" s="129"/>
      <c r="Q27" s="36"/>
      <c r="R27" s="36"/>
      <c r="S27" s="36"/>
      <c r="T27" s="36"/>
      <c r="U27" s="36"/>
    </row>
    <row r="28" spans="2:21" s="1" customFormat="1" ht="35.25" customHeight="1">
      <c r="B28" s="378"/>
      <c r="C28" s="369"/>
      <c r="D28" s="389"/>
      <c r="E28" s="105"/>
      <c r="F28" s="89"/>
      <c r="G28" s="89"/>
      <c r="H28" s="89"/>
      <c r="I28" s="10" t="s">
        <v>134</v>
      </c>
      <c r="J28" s="68"/>
      <c r="K28" s="36"/>
      <c r="O28" s="129"/>
      <c r="P28" s="129"/>
      <c r="Q28" s="36"/>
      <c r="R28" s="36"/>
      <c r="S28" s="36"/>
      <c r="T28" s="36"/>
      <c r="U28" s="36"/>
    </row>
    <row r="29" spans="2:17" s="1" customFormat="1" ht="39.75" customHeight="1">
      <c r="B29" s="378"/>
      <c r="C29" s="369"/>
      <c r="D29" s="389"/>
      <c r="E29" s="158"/>
      <c r="F29" s="159"/>
      <c r="G29" s="160"/>
      <c r="H29" s="106"/>
      <c r="I29" s="161" t="s">
        <v>154</v>
      </c>
      <c r="J29" s="162" t="s">
        <v>73</v>
      </c>
      <c r="K29" s="36"/>
      <c r="Q29" s="36"/>
    </row>
    <row r="30" spans="2:17" s="1" customFormat="1" ht="21.75" customHeight="1">
      <c r="B30" s="378"/>
      <c r="C30" s="369"/>
      <c r="D30" s="390"/>
      <c r="E30" s="158"/>
      <c r="F30" s="159"/>
      <c r="G30" s="160"/>
      <c r="H30" s="106"/>
      <c r="I30" s="182" t="s">
        <v>155</v>
      </c>
      <c r="J30" s="162"/>
      <c r="K30" s="36"/>
      <c r="Q30" s="36"/>
    </row>
    <row r="31" spans="2:12" s="1" customFormat="1" ht="33" customHeight="1">
      <c r="B31" s="378"/>
      <c r="C31" s="369"/>
      <c r="D31" s="363" t="s">
        <v>121</v>
      </c>
      <c r="E31" s="163">
        <v>4411040</v>
      </c>
      <c r="F31" s="382">
        <f>22012770+54398660</f>
        <v>76411430</v>
      </c>
      <c r="G31" s="382">
        <f>21146010+43257120</f>
        <v>64403130</v>
      </c>
      <c r="H31" s="380">
        <f>G31-F31</f>
        <v>-12008300</v>
      </c>
      <c r="I31" s="172" t="s">
        <v>176</v>
      </c>
      <c r="J31" s="164">
        <f>G31-F31</f>
        <v>-12008300</v>
      </c>
      <c r="K31" s="266">
        <f>17712100+3433910</f>
        <v>21146010</v>
      </c>
      <c r="L31" s="1">
        <f>60969220+3433910</f>
        <v>64403130</v>
      </c>
    </row>
    <row r="32" spans="2:11" s="1" customFormat="1" ht="30.75" customHeight="1">
      <c r="B32" s="378"/>
      <c r="C32" s="369"/>
      <c r="D32" s="385"/>
      <c r="E32" s="105"/>
      <c r="F32" s="376"/>
      <c r="G32" s="376"/>
      <c r="H32" s="381"/>
      <c r="I32" s="173" t="s">
        <v>140</v>
      </c>
      <c r="J32" s="68"/>
      <c r="K32" s="266">
        <f>K33-K31</f>
        <v>43257120</v>
      </c>
    </row>
    <row r="33" spans="2:11" s="1" customFormat="1" ht="19.5" customHeight="1">
      <c r="B33" s="378"/>
      <c r="C33" s="369"/>
      <c r="D33" s="386" t="s">
        <v>59</v>
      </c>
      <c r="E33" s="3">
        <v>1862650</v>
      </c>
      <c r="F33" s="121">
        <f>30616800+3756680+12745670+9152820+5632790</f>
        <v>61904760</v>
      </c>
      <c r="G33" s="121">
        <f>30197750+3705260+17622880+8061090+4893980</f>
        <v>64480960</v>
      </c>
      <c r="H33" s="304">
        <f>G33-F33</f>
        <v>2576200</v>
      </c>
      <c r="I33" s="17" t="s">
        <v>156</v>
      </c>
      <c r="J33" s="68"/>
      <c r="K33" s="266">
        <v>64403130</v>
      </c>
    </row>
    <row r="34" spans="2:11" s="1" customFormat="1" ht="27" customHeight="1">
      <c r="B34" s="378"/>
      <c r="C34" s="369"/>
      <c r="D34" s="387"/>
      <c r="E34" s="3"/>
      <c r="F34" s="3"/>
      <c r="G34" s="3"/>
      <c r="H34" s="203"/>
      <c r="I34" s="214" t="s">
        <v>125</v>
      </c>
      <c r="J34" s="68"/>
      <c r="K34" s="36">
        <f>28947140+1250610</f>
        <v>30197750</v>
      </c>
    </row>
    <row r="35" spans="2:11" s="1" customFormat="1" ht="21.75" customHeight="1">
      <c r="B35" s="378"/>
      <c r="C35" s="369"/>
      <c r="D35" s="104"/>
      <c r="E35" s="3"/>
      <c r="F35" s="3"/>
      <c r="G35" s="3"/>
      <c r="H35" s="203"/>
      <c r="I35" s="299" t="s">
        <v>170</v>
      </c>
      <c r="J35" s="68"/>
      <c r="K35" s="36">
        <f>153410+3031400</f>
        <v>3184810</v>
      </c>
    </row>
    <row r="36" spans="2:11" s="1" customFormat="1" ht="21" customHeight="1">
      <c r="B36" s="378"/>
      <c r="C36" s="369"/>
      <c r="D36" s="20"/>
      <c r="E36" s="3"/>
      <c r="F36" s="3"/>
      <c r="G36" s="3"/>
      <c r="H36" s="203"/>
      <c r="I36" s="214" t="s">
        <v>171</v>
      </c>
      <c r="J36" s="68"/>
      <c r="K36" s="36"/>
    </row>
    <row r="37" spans="2:11" s="1" customFormat="1" ht="22.5" customHeight="1">
      <c r="B37" s="378"/>
      <c r="C37" s="369"/>
      <c r="D37" s="19"/>
      <c r="E37" s="3">
        <f>3409960+538530+492370</f>
        <v>4440860</v>
      </c>
      <c r="F37" s="3"/>
      <c r="G37" s="3"/>
      <c r="H37" s="203"/>
      <c r="I37" s="17" t="s">
        <v>157</v>
      </c>
      <c r="J37" s="68"/>
      <c r="K37" s="36">
        <f>16087030+1535850</f>
        <v>17622880</v>
      </c>
    </row>
    <row r="38" spans="2:11" s="1" customFormat="1" ht="23.25" customHeight="1">
      <c r="B38" s="378"/>
      <c r="C38" s="369"/>
      <c r="D38" s="44"/>
      <c r="E38" s="5"/>
      <c r="F38" s="90"/>
      <c r="G38" s="90"/>
      <c r="H38" s="203"/>
      <c r="I38" s="214" t="s">
        <v>126</v>
      </c>
      <c r="J38" s="68"/>
      <c r="K38" s="36"/>
    </row>
    <row r="39" spans="2:11" s="1" customFormat="1" ht="21.75" customHeight="1">
      <c r="B39" s="378"/>
      <c r="C39" s="369"/>
      <c r="D39" s="44"/>
      <c r="E39" s="5"/>
      <c r="F39" s="90"/>
      <c r="G39" s="90"/>
      <c r="H39" s="203"/>
      <c r="I39" s="299" t="s">
        <v>158</v>
      </c>
      <c r="J39" s="110"/>
      <c r="K39" s="36"/>
    </row>
    <row r="40" spans="2:10" s="1" customFormat="1" ht="29.25" customHeight="1">
      <c r="B40" s="378"/>
      <c r="C40" s="369"/>
      <c r="D40" s="19"/>
      <c r="E40" s="5"/>
      <c r="F40" s="90"/>
      <c r="G40" s="90"/>
      <c r="H40" s="203"/>
      <c r="I40" s="10" t="s">
        <v>127</v>
      </c>
      <c r="J40" s="36"/>
    </row>
    <row r="41" spans="2:11" s="1" customFormat="1" ht="30" customHeight="1" thickBot="1">
      <c r="B41" s="379"/>
      <c r="C41" s="371"/>
      <c r="D41" s="101"/>
      <c r="E41" s="261"/>
      <c r="F41" s="262"/>
      <c r="G41" s="262"/>
      <c r="H41" s="204"/>
      <c r="I41" s="300" t="s">
        <v>159</v>
      </c>
      <c r="J41" s="95"/>
      <c r="K41" s="36"/>
    </row>
    <row r="42" spans="2:11" s="1" customFormat="1" ht="30.75" customHeight="1" thickBot="1">
      <c r="B42" s="365" t="s">
        <v>167</v>
      </c>
      <c r="C42" s="370" t="s">
        <v>77</v>
      </c>
      <c r="D42" s="249" t="s">
        <v>11</v>
      </c>
      <c r="E42" s="250" t="e">
        <f>E43+#REF!+E45</f>
        <v>#REF!</v>
      </c>
      <c r="F42" s="251">
        <f>F43+F45+F44</f>
        <v>4700000</v>
      </c>
      <c r="G42" s="251">
        <f>G43+G44+G45</f>
        <v>3247420</v>
      </c>
      <c r="H42" s="287">
        <f>G42-F42</f>
        <v>-1452580</v>
      </c>
      <c r="I42" s="123"/>
      <c r="J42" s="67">
        <f aca="true" t="shared" si="1" ref="J42:J52">G42-F42</f>
        <v>-1452580</v>
      </c>
      <c r="K42" s="36"/>
    </row>
    <row r="43" spans="2:11" s="1" customFormat="1" ht="93" customHeight="1" thickBot="1">
      <c r="B43" s="366"/>
      <c r="C43" s="371"/>
      <c r="D43" s="137" t="s">
        <v>17</v>
      </c>
      <c r="E43" s="108">
        <f>350000+200000</f>
        <v>550000</v>
      </c>
      <c r="F43" s="308">
        <v>2900000</v>
      </c>
      <c r="G43" s="308">
        <f>12420+1400000+50000</f>
        <v>1462420</v>
      </c>
      <c r="H43" s="309">
        <f>G43-F43</f>
        <v>-1437580</v>
      </c>
      <c r="I43" s="310" t="s">
        <v>160</v>
      </c>
      <c r="J43" s="68">
        <f t="shared" si="1"/>
        <v>-1437580</v>
      </c>
      <c r="K43" s="36"/>
    </row>
    <row r="44" spans="2:11" s="1" customFormat="1" ht="48" customHeight="1">
      <c r="B44" s="365" t="s">
        <v>166</v>
      </c>
      <c r="C44" s="370" t="s">
        <v>77</v>
      </c>
      <c r="D44" s="37" t="s">
        <v>52</v>
      </c>
      <c r="E44" s="102"/>
      <c r="F44" s="221">
        <v>1200000</v>
      </c>
      <c r="G44" s="221">
        <f>1200000</f>
        <v>1200000</v>
      </c>
      <c r="H44" s="311">
        <v>0</v>
      </c>
      <c r="I44" s="312" t="s">
        <v>161</v>
      </c>
      <c r="J44" s="68">
        <f t="shared" si="1"/>
        <v>0</v>
      </c>
      <c r="K44" s="36"/>
    </row>
    <row r="45" spans="2:11" s="1" customFormat="1" ht="50.25" customHeight="1" thickBot="1">
      <c r="B45" s="374"/>
      <c r="C45" s="369"/>
      <c r="D45" s="71" t="s">
        <v>18</v>
      </c>
      <c r="E45" s="45">
        <f>400000+200000</f>
        <v>600000</v>
      </c>
      <c r="F45" s="171">
        <v>600000</v>
      </c>
      <c r="G45" s="171">
        <f>585000</f>
        <v>585000</v>
      </c>
      <c r="H45" s="268">
        <f>G45-F45</f>
        <v>-15000</v>
      </c>
      <c r="I45" s="301" t="s">
        <v>162</v>
      </c>
      <c r="J45" s="68">
        <f t="shared" si="1"/>
        <v>-15000</v>
      </c>
      <c r="K45" s="36"/>
    </row>
    <row r="46" spans="2:11" s="1" customFormat="1" ht="33.75" customHeight="1" thickBot="1">
      <c r="B46" s="374"/>
      <c r="C46" s="370" t="s">
        <v>88</v>
      </c>
      <c r="D46" s="55" t="s">
        <v>11</v>
      </c>
      <c r="E46" s="65" t="e">
        <f>E47+E48+E49+E50+E51++#REF!</f>
        <v>#REF!</v>
      </c>
      <c r="F46" s="82">
        <f>F47+F48+F49+F51+F52</f>
        <v>67900000</v>
      </c>
      <c r="G46" s="82">
        <f>G47+G48+G49+G51+G52</f>
        <v>52797067</v>
      </c>
      <c r="H46" s="265">
        <f>G46-F46</f>
        <v>-15102933</v>
      </c>
      <c r="I46" s="123"/>
      <c r="J46" s="67">
        <f t="shared" si="1"/>
        <v>-15102933</v>
      </c>
      <c r="K46" s="36"/>
    </row>
    <row r="47" spans="2:11" s="1" customFormat="1" ht="45" customHeight="1">
      <c r="B47" s="374"/>
      <c r="C47" s="369"/>
      <c r="D47" s="220" t="s">
        <v>19</v>
      </c>
      <c r="E47" s="221">
        <f>4000000+1000000</f>
        <v>5000000</v>
      </c>
      <c r="F47" s="221">
        <v>2000000</v>
      </c>
      <c r="G47" s="221">
        <f>80000+1118690</f>
        <v>1198690</v>
      </c>
      <c r="H47" s="268">
        <f>G47-F47</f>
        <v>-801310</v>
      </c>
      <c r="I47" s="305" t="s">
        <v>164</v>
      </c>
      <c r="J47" s="68">
        <f t="shared" si="1"/>
        <v>-801310</v>
      </c>
      <c r="K47" s="36">
        <f>400000+5000000+1500000</f>
        <v>6900000</v>
      </c>
    </row>
    <row r="48" spans="2:13" s="1" customFormat="1" ht="100.5" customHeight="1">
      <c r="B48" s="374"/>
      <c r="C48" s="369"/>
      <c r="D48" s="169" t="s">
        <v>20</v>
      </c>
      <c r="E48" s="179">
        <v>2300000</v>
      </c>
      <c r="F48" s="170">
        <f>3000000+100000+500000+1500000+1800000+5000000</f>
        <v>11900000</v>
      </c>
      <c r="G48" s="170">
        <f>1785020+375400+450000+1634040+1800000+400000+674800</f>
        <v>7119260</v>
      </c>
      <c r="H48" s="268">
        <f>G48-F48</f>
        <v>-4780740</v>
      </c>
      <c r="I48" s="306" t="s">
        <v>183</v>
      </c>
      <c r="J48" s="68">
        <f t="shared" si="1"/>
        <v>-4780740</v>
      </c>
      <c r="K48" s="36">
        <f>3500000+300000+900000+3000000</f>
        <v>7700000</v>
      </c>
      <c r="M48" s="1" t="s">
        <v>64</v>
      </c>
    </row>
    <row r="49" spans="2:11" s="1" customFormat="1" ht="41.25" customHeight="1">
      <c r="B49" s="374"/>
      <c r="C49" s="369"/>
      <c r="D49" s="383" t="s">
        <v>60</v>
      </c>
      <c r="E49" s="3">
        <v>1500000</v>
      </c>
      <c r="F49" s="375">
        <f>800000+7000000+500000+500000+200000+800000+30000+2000000+370000</f>
        <v>12200000</v>
      </c>
      <c r="G49" s="375">
        <f>665400+4283600+423140+190730+92920+800000+7680+128000</f>
        <v>6591470</v>
      </c>
      <c r="H49" s="380">
        <f>G49-F49</f>
        <v>-5608530</v>
      </c>
      <c r="I49" s="107" t="s">
        <v>188</v>
      </c>
      <c r="J49" s="68">
        <f t="shared" si="1"/>
        <v>-5608530</v>
      </c>
      <c r="K49" s="36">
        <f>664570+203540</f>
        <v>868110</v>
      </c>
    </row>
    <row r="50" spans="2:11" s="1" customFormat="1" ht="75" customHeight="1">
      <c r="B50" s="374"/>
      <c r="C50" s="369"/>
      <c r="D50" s="384"/>
      <c r="E50" s="4">
        <f>2000000</f>
        <v>2000000</v>
      </c>
      <c r="F50" s="376"/>
      <c r="G50" s="376"/>
      <c r="H50" s="381"/>
      <c r="I50" s="307" t="s">
        <v>163</v>
      </c>
      <c r="J50" s="68">
        <f t="shared" si="1"/>
        <v>0</v>
      </c>
      <c r="K50" s="36">
        <f>30000+3500000+900000+250000+200000</f>
        <v>4880000</v>
      </c>
    </row>
    <row r="51" spans="2:11" s="1" customFormat="1" ht="67.5" customHeight="1">
      <c r="B51" s="374"/>
      <c r="C51" s="369"/>
      <c r="D51" s="21" t="s">
        <v>21</v>
      </c>
      <c r="E51" s="4">
        <v>2500000</v>
      </c>
      <c r="F51" s="91">
        <f>9000000+6500000+30000+470000</f>
        <v>16000000</v>
      </c>
      <c r="G51" s="91">
        <f>9733867+3822600</f>
        <v>13556467</v>
      </c>
      <c r="H51" s="268">
        <f>G51-F51</f>
        <v>-2443533</v>
      </c>
      <c r="I51" s="23" t="s">
        <v>175</v>
      </c>
      <c r="J51" s="68">
        <f t="shared" si="1"/>
        <v>-2443533</v>
      </c>
      <c r="K51" s="36">
        <f>7000000+2000000+100000</f>
        <v>9100000</v>
      </c>
    </row>
    <row r="52" spans="2:11" s="1" customFormat="1" ht="37.5" customHeight="1">
      <c r="B52" s="374"/>
      <c r="C52" s="369"/>
      <c r="D52" s="113" t="s">
        <v>51</v>
      </c>
      <c r="E52" s="105"/>
      <c r="F52" s="112">
        <f>2800000+800000+1500000+3800000+2400000+2400000+5000000+6600000+500000</f>
        <v>25800000</v>
      </c>
      <c r="G52" s="112">
        <f>1811180+800000+1230000+3600000+400000+1250000+1140000+2400000+2400000+2400000+6600000+300000</f>
        <v>24331180</v>
      </c>
      <c r="H52" s="268">
        <f>G52-F52</f>
        <v>-1468820</v>
      </c>
      <c r="I52" s="111" t="s">
        <v>165</v>
      </c>
      <c r="J52" s="68">
        <f t="shared" si="1"/>
        <v>-1468820</v>
      </c>
      <c r="K52" s="36"/>
    </row>
    <row r="53" spans="2:11" s="1" customFormat="1" ht="67.5" customHeight="1">
      <c r="B53" s="374"/>
      <c r="C53" s="369"/>
      <c r="D53" s="20"/>
      <c r="E53" s="105"/>
      <c r="F53" s="112"/>
      <c r="G53" s="112"/>
      <c r="H53" s="203"/>
      <c r="I53" s="111" t="s">
        <v>128</v>
      </c>
      <c r="J53" s="68"/>
      <c r="K53" s="36"/>
    </row>
    <row r="54" spans="2:11" s="1" customFormat="1" ht="45" customHeight="1">
      <c r="B54" s="374"/>
      <c r="C54" s="369"/>
      <c r="D54" s="20"/>
      <c r="E54" s="105"/>
      <c r="F54" s="112"/>
      <c r="G54" s="112"/>
      <c r="H54" s="216"/>
      <c r="I54" s="111" t="s">
        <v>178</v>
      </c>
      <c r="J54" s="68"/>
      <c r="K54" s="36"/>
    </row>
    <row r="55" spans="2:11" s="1" customFormat="1" ht="50.25" customHeight="1">
      <c r="B55" s="374"/>
      <c r="C55" s="369"/>
      <c r="D55" s="20"/>
      <c r="E55" s="105"/>
      <c r="F55" s="112"/>
      <c r="G55" s="112"/>
      <c r="H55" s="216"/>
      <c r="I55" s="111" t="s">
        <v>129</v>
      </c>
      <c r="J55" s="68"/>
      <c r="K55" s="36"/>
    </row>
    <row r="56" spans="2:11" s="1" customFormat="1" ht="46.5" customHeight="1">
      <c r="B56" s="374"/>
      <c r="C56" s="369"/>
      <c r="D56" s="19"/>
      <c r="E56" s="105"/>
      <c r="F56" s="112"/>
      <c r="G56" s="112"/>
      <c r="H56" s="216"/>
      <c r="I56" s="111" t="s">
        <v>130</v>
      </c>
      <c r="J56" s="68"/>
      <c r="K56" s="36"/>
    </row>
    <row r="57" spans="2:11" s="1" customFormat="1" ht="81.75" customHeight="1" thickBot="1">
      <c r="B57" s="366"/>
      <c r="C57" s="371"/>
      <c r="D57" s="322"/>
      <c r="E57" s="252"/>
      <c r="F57" s="253"/>
      <c r="G57" s="253"/>
      <c r="H57" s="254"/>
      <c r="I57" s="255" t="s">
        <v>102</v>
      </c>
      <c r="J57" s="68"/>
      <c r="K57" s="36"/>
    </row>
    <row r="58" spans="2:11" s="1" customFormat="1" ht="29.25" customHeight="1">
      <c r="B58" s="374" t="s">
        <v>167</v>
      </c>
      <c r="C58" s="369" t="s">
        <v>169</v>
      </c>
      <c r="D58" s="358" t="s">
        <v>168</v>
      </c>
      <c r="E58" s="105"/>
      <c r="F58" s="112"/>
      <c r="G58" s="112"/>
      <c r="H58" s="216"/>
      <c r="I58" s="111" t="s">
        <v>147</v>
      </c>
      <c r="J58" s="68"/>
      <c r="K58" s="36"/>
    </row>
    <row r="59" spans="2:11" s="1" customFormat="1" ht="63" customHeight="1">
      <c r="B59" s="374"/>
      <c r="C59" s="369"/>
      <c r="D59" s="358"/>
      <c r="E59" s="105"/>
      <c r="F59" s="112"/>
      <c r="G59" s="112"/>
      <c r="H59" s="216"/>
      <c r="I59" s="111" t="s">
        <v>118</v>
      </c>
      <c r="J59" s="68"/>
      <c r="K59" s="36"/>
    </row>
    <row r="60" spans="2:11" s="1" customFormat="1" ht="45" customHeight="1" thickBot="1">
      <c r="B60" s="366"/>
      <c r="C60" s="371"/>
      <c r="D60" s="364"/>
      <c r="E60" s="252"/>
      <c r="F60" s="253"/>
      <c r="G60" s="253"/>
      <c r="H60" s="254"/>
      <c r="I60" s="255" t="s">
        <v>181</v>
      </c>
      <c r="J60" s="68"/>
      <c r="K60" s="36"/>
    </row>
    <row r="61" spans="2:11" s="1" customFormat="1" ht="39" customHeight="1" thickBot="1">
      <c r="B61" s="369" t="s">
        <v>86</v>
      </c>
      <c r="C61" s="369" t="s">
        <v>87</v>
      </c>
      <c r="D61" s="18" t="s">
        <v>11</v>
      </c>
      <c r="E61" s="7" t="e">
        <f>#REF!+E62+#REF!</f>
        <v>#REF!</v>
      </c>
      <c r="F61" s="82">
        <f>F62</f>
        <v>80000000</v>
      </c>
      <c r="G61" s="82">
        <f>G62</f>
        <v>9020000</v>
      </c>
      <c r="H61" s="265">
        <f aca="true" t="shared" si="2" ref="H61:H76">G61-F61</f>
        <v>-70980000</v>
      </c>
      <c r="I61" s="124" t="s">
        <v>73</v>
      </c>
      <c r="J61" s="67">
        <f>G61-F61</f>
        <v>-70980000</v>
      </c>
      <c r="K61" s="36"/>
    </row>
    <row r="62" spans="2:11" s="1" customFormat="1" ht="54" customHeight="1" thickBot="1">
      <c r="B62" s="368"/>
      <c r="C62" s="368"/>
      <c r="D62" s="96" t="s">
        <v>22</v>
      </c>
      <c r="E62" s="93">
        <v>3000000</v>
      </c>
      <c r="F62" s="93">
        <f>10000000+60000000+10000000</f>
        <v>80000000</v>
      </c>
      <c r="G62" s="93">
        <f>4420000+4500000+100000</f>
        <v>9020000</v>
      </c>
      <c r="H62" s="288">
        <f t="shared" si="2"/>
        <v>-70980000</v>
      </c>
      <c r="I62" s="94" t="s">
        <v>182</v>
      </c>
      <c r="J62" s="68"/>
      <c r="K62" s="36">
        <f>5000000+38000000+500000+500000</f>
        <v>44000000</v>
      </c>
    </row>
    <row r="63" spans="2:11" s="6" customFormat="1" ht="27" customHeight="1" thickBot="1">
      <c r="B63" s="370" t="s">
        <v>89</v>
      </c>
      <c r="C63" s="370" t="s">
        <v>89</v>
      </c>
      <c r="D63" s="166" t="s">
        <v>11</v>
      </c>
      <c r="E63" s="7">
        <f>SUM(E64:E72)</f>
        <v>19085000</v>
      </c>
      <c r="F63" s="82">
        <f>SUM(F64:F72)</f>
        <v>28500000</v>
      </c>
      <c r="G63" s="82">
        <f>SUM(G64:G72)</f>
        <v>20200560</v>
      </c>
      <c r="H63" s="265">
        <f t="shared" si="2"/>
        <v>-8299440</v>
      </c>
      <c r="I63" s="124"/>
      <c r="J63" s="67">
        <f>G63-F63</f>
        <v>-8299440</v>
      </c>
      <c r="K63" s="43"/>
    </row>
    <row r="64" spans="2:18" s="6" customFormat="1" ht="88.5" customHeight="1">
      <c r="B64" s="369"/>
      <c r="C64" s="369"/>
      <c r="D64" s="218" t="s">
        <v>23</v>
      </c>
      <c r="E64" s="3">
        <f>10400000+780000</f>
        <v>11180000</v>
      </c>
      <c r="F64" s="3">
        <f>7200000+792000+208000</f>
        <v>8200000</v>
      </c>
      <c r="G64" s="3">
        <f>7541430+208580</f>
        <v>7750010</v>
      </c>
      <c r="H64" s="298">
        <f t="shared" si="2"/>
        <v>-449990</v>
      </c>
      <c r="I64" s="219" t="s">
        <v>185</v>
      </c>
      <c r="J64" s="68">
        <f>G64-F64</f>
        <v>-449990</v>
      </c>
      <c r="K64" s="43"/>
      <c r="L64" s="97">
        <v>6857280</v>
      </c>
      <c r="M64" s="97">
        <f>414570+136300+133280</f>
        <v>684150</v>
      </c>
      <c r="N64" s="97">
        <f>SUM(L64:M64)</f>
        <v>7541430</v>
      </c>
      <c r="O64" s="97">
        <f>N64/12</f>
        <v>628452.5</v>
      </c>
      <c r="P64" s="97">
        <f>O64/40</f>
        <v>15711.3125</v>
      </c>
      <c r="Q64" s="97">
        <f>15710*12*40</f>
        <v>7540800</v>
      </c>
      <c r="R64" s="97">
        <f>N64-Q64</f>
        <v>630</v>
      </c>
    </row>
    <row r="65" spans="2:11" s="6" customFormat="1" ht="41.25" customHeight="1">
      <c r="B65" s="369"/>
      <c r="C65" s="369"/>
      <c r="D65" s="30" t="s">
        <v>45</v>
      </c>
      <c r="E65" s="2"/>
      <c r="F65" s="2">
        <v>2000000</v>
      </c>
      <c r="G65" s="2">
        <f>2000000</f>
        <v>2000000</v>
      </c>
      <c r="H65" s="297">
        <f t="shared" si="2"/>
        <v>0</v>
      </c>
      <c r="I65" s="29" t="s">
        <v>141</v>
      </c>
      <c r="J65" s="68">
        <f aca="true" t="shared" si="3" ref="J65:J72">G65-F65</f>
        <v>0</v>
      </c>
      <c r="K65" s="43"/>
    </row>
    <row r="66" spans="2:11" s="6" customFormat="1" ht="41.25" customHeight="1">
      <c r="B66" s="369"/>
      <c r="C66" s="369"/>
      <c r="D66" s="40" t="s">
        <v>80</v>
      </c>
      <c r="E66" s="4"/>
      <c r="F66" s="4">
        <v>1000000</v>
      </c>
      <c r="G66" s="4">
        <f>78000</f>
        <v>78000</v>
      </c>
      <c r="H66" s="268">
        <f t="shared" si="2"/>
        <v>-922000</v>
      </c>
      <c r="I66" s="23" t="s">
        <v>179</v>
      </c>
      <c r="J66" s="68">
        <f t="shared" si="3"/>
        <v>-922000</v>
      </c>
      <c r="K66" s="43"/>
    </row>
    <row r="67" spans="2:11" s="6" customFormat="1" ht="72" customHeight="1">
      <c r="B67" s="369"/>
      <c r="C67" s="369"/>
      <c r="D67" s="40" t="s">
        <v>24</v>
      </c>
      <c r="E67" s="4">
        <f>2040000+510000</f>
        <v>2550000</v>
      </c>
      <c r="F67" s="4">
        <v>6000000</v>
      </c>
      <c r="G67" s="4">
        <f>2500000+2500000</f>
        <v>5000000</v>
      </c>
      <c r="H67" s="268">
        <f t="shared" si="2"/>
        <v>-1000000</v>
      </c>
      <c r="I67" s="23" t="s">
        <v>131</v>
      </c>
      <c r="J67" s="68">
        <f t="shared" si="3"/>
        <v>-1000000</v>
      </c>
      <c r="K67" s="43"/>
    </row>
    <row r="68" spans="2:11" s="6" customFormat="1" ht="40.5" customHeight="1">
      <c r="B68" s="369"/>
      <c r="C68" s="369"/>
      <c r="D68" s="30" t="s">
        <v>25</v>
      </c>
      <c r="E68" s="2">
        <f>2125000+850000</f>
        <v>2975000</v>
      </c>
      <c r="F68" s="2">
        <v>1500000</v>
      </c>
      <c r="G68" s="263">
        <v>0</v>
      </c>
      <c r="H68" s="268">
        <f t="shared" si="2"/>
        <v>-1500000</v>
      </c>
      <c r="I68" s="29" t="s">
        <v>180</v>
      </c>
      <c r="J68" s="68">
        <f t="shared" si="3"/>
        <v>-1500000</v>
      </c>
      <c r="K68" s="43"/>
    </row>
    <row r="69" spans="2:11" s="6" customFormat="1" ht="60" customHeight="1">
      <c r="B69" s="369"/>
      <c r="C69" s="369"/>
      <c r="D69" s="47" t="s">
        <v>96</v>
      </c>
      <c r="E69" s="4">
        <f>1500000+500000</f>
        <v>2000000</v>
      </c>
      <c r="F69" s="4">
        <v>2000000</v>
      </c>
      <c r="G69" s="4">
        <f>1100000+200000</f>
        <v>1300000</v>
      </c>
      <c r="H69" s="268">
        <f t="shared" si="2"/>
        <v>-700000</v>
      </c>
      <c r="I69" s="23" t="s">
        <v>132</v>
      </c>
      <c r="J69" s="68">
        <f t="shared" si="3"/>
        <v>-700000</v>
      </c>
      <c r="K69" s="43"/>
    </row>
    <row r="70" spans="2:11" s="6" customFormat="1" ht="67.5" customHeight="1">
      <c r="B70" s="369"/>
      <c r="C70" s="369"/>
      <c r="D70" s="324" t="s">
        <v>26</v>
      </c>
      <c r="E70" s="325">
        <f>180000+200000</f>
        <v>380000</v>
      </c>
      <c r="F70" s="325">
        <f>3500000+2000000</f>
        <v>5500000</v>
      </c>
      <c r="G70" s="325">
        <f>118700+998820+2450000+135030</f>
        <v>3702550</v>
      </c>
      <c r="H70" s="268">
        <f t="shared" si="2"/>
        <v>-1797450</v>
      </c>
      <c r="I70" s="326" t="s">
        <v>184</v>
      </c>
      <c r="J70" s="68">
        <f t="shared" si="3"/>
        <v>-1797450</v>
      </c>
      <c r="K70" s="43"/>
    </row>
    <row r="71" spans="2:11" s="6" customFormat="1" ht="45" customHeight="1">
      <c r="B71" s="369"/>
      <c r="C71" s="369"/>
      <c r="D71" s="30" t="s">
        <v>43</v>
      </c>
      <c r="E71" s="327">
        <v>0</v>
      </c>
      <c r="F71" s="2">
        <v>1800000</v>
      </c>
      <c r="G71" s="2">
        <f>370000</f>
        <v>370000</v>
      </c>
      <c r="H71" s="328">
        <f t="shared" si="2"/>
        <v>-1430000</v>
      </c>
      <c r="I71" s="29" t="s">
        <v>133</v>
      </c>
      <c r="J71" s="68">
        <f t="shared" si="3"/>
        <v>-1430000</v>
      </c>
      <c r="K71" s="43">
        <f>2400000+2000000+100000</f>
        <v>4500000</v>
      </c>
    </row>
    <row r="72" spans="2:11" s="6" customFormat="1" ht="44.25" customHeight="1" thickBot="1">
      <c r="B72" s="371"/>
      <c r="C72" s="371"/>
      <c r="D72" s="42" t="s">
        <v>27</v>
      </c>
      <c r="E72" s="45">
        <v>0</v>
      </c>
      <c r="F72" s="171">
        <v>500000</v>
      </c>
      <c r="G72" s="264">
        <v>0</v>
      </c>
      <c r="H72" s="302">
        <f t="shared" si="2"/>
        <v>-500000</v>
      </c>
      <c r="I72" s="99" t="s">
        <v>172</v>
      </c>
      <c r="J72" s="68">
        <f t="shared" si="3"/>
        <v>-500000</v>
      </c>
      <c r="K72" s="43"/>
    </row>
    <row r="73" spans="2:11" s="6" customFormat="1" ht="36.75" customHeight="1" thickBot="1">
      <c r="B73" s="367" t="s">
        <v>0</v>
      </c>
      <c r="C73" s="367" t="s">
        <v>0</v>
      </c>
      <c r="D73" s="18" t="s">
        <v>11</v>
      </c>
      <c r="E73" s="70">
        <f>SUM(E74:E74)</f>
        <v>4680000</v>
      </c>
      <c r="F73" s="211">
        <f>F74</f>
        <v>2500000</v>
      </c>
      <c r="G73" s="211">
        <f>G74</f>
        <v>2425972</v>
      </c>
      <c r="H73" s="287">
        <f t="shared" si="2"/>
        <v>-74028</v>
      </c>
      <c r="I73" s="41"/>
      <c r="J73" s="67">
        <f>G73-F73</f>
        <v>-74028</v>
      </c>
      <c r="K73" s="43"/>
    </row>
    <row r="74" spans="2:11" s="6" customFormat="1" ht="72" customHeight="1" thickBot="1">
      <c r="B74" s="368"/>
      <c r="C74" s="368"/>
      <c r="D74" s="28" t="s">
        <v>0</v>
      </c>
      <c r="E74" s="70">
        <v>4680000</v>
      </c>
      <c r="F74" s="69">
        <f>4000+2000000+496000</f>
        <v>2500000</v>
      </c>
      <c r="G74" s="69">
        <f>1972+2000000+187000+237000</f>
        <v>2425972</v>
      </c>
      <c r="H74" s="287">
        <f t="shared" si="2"/>
        <v>-74028</v>
      </c>
      <c r="I74" s="314" t="s">
        <v>173</v>
      </c>
      <c r="J74" s="68"/>
      <c r="K74" s="43"/>
    </row>
    <row r="75" spans="2:11" s="6" customFormat="1" ht="34.5" customHeight="1" thickBot="1">
      <c r="B75" s="367" t="s">
        <v>1</v>
      </c>
      <c r="C75" s="367" t="s">
        <v>1</v>
      </c>
      <c r="D75" s="18" t="s">
        <v>11</v>
      </c>
      <c r="E75" s="70">
        <f>SUM(E76)</f>
        <v>4465010</v>
      </c>
      <c r="F75" s="212">
        <f>F76</f>
        <v>283184349</v>
      </c>
      <c r="G75" s="212">
        <f>G76</f>
        <v>364723076</v>
      </c>
      <c r="H75" s="245">
        <f t="shared" si="2"/>
        <v>81538727</v>
      </c>
      <c r="I75" s="125"/>
      <c r="J75" s="68"/>
      <c r="K75" s="43"/>
    </row>
    <row r="76" spans="2:11" s="6" customFormat="1" ht="32.25" customHeight="1" thickBot="1">
      <c r="B76" s="368"/>
      <c r="C76" s="368"/>
      <c r="D76" s="115" t="s">
        <v>1</v>
      </c>
      <c r="E76" s="108">
        <v>4465010</v>
      </c>
      <c r="F76" s="116">
        <v>283184349</v>
      </c>
      <c r="G76" s="116">
        <f>228335556+3752998+114980+1154603+36499631+3011910+3011910+70000000+160147+18670773+790+378+9370+30</f>
        <v>364723076</v>
      </c>
      <c r="H76" s="204">
        <f t="shared" si="2"/>
        <v>81538727</v>
      </c>
      <c r="I76" s="126"/>
      <c r="J76" s="68"/>
      <c r="K76" s="43">
        <f>G76-F76</f>
        <v>81538727</v>
      </c>
    </row>
    <row r="77" ht="13.5">
      <c r="G77" t="s">
        <v>74</v>
      </c>
    </row>
    <row r="80" ht="13.5">
      <c r="G80" s="31">
        <f>2차추경세입예산!F6-2차추경세출예산!G7</f>
        <v>0</v>
      </c>
    </row>
    <row r="82" spans="7:9" ht="13.5">
      <c r="G82" s="31"/>
      <c r="H82" s="31"/>
      <c r="I82" s="31"/>
    </row>
    <row r="86" ht="13.5">
      <c r="H86" s="8"/>
    </row>
    <row r="87" ht="13.5">
      <c r="H87" s="8"/>
    </row>
    <row r="88" ht="13.5">
      <c r="H88" s="8"/>
    </row>
    <row r="89" ht="13.5">
      <c r="H89" s="8"/>
    </row>
    <row r="90" ht="13.5">
      <c r="H90" s="8"/>
    </row>
    <row r="91" ht="13.5">
      <c r="H91" s="8"/>
    </row>
    <row r="92" spans="6:8" ht="13.5">
      <c r="F92" s="31"/>
      <c r="G92" s="31" t="e">
        <f>2차추경세입예산!#REF!</f>
        <v>#REF!</v>
      </c>
      <c r="H92" s="8"/>
    </row>
    <row r="93" spans="7:8" ht="13.5">
      <c r="G93" s="31">
        <f>G7</f>
        <v>1454975915</v>
      </c>
      <c r="H93" s="8"/>
    </row>
    <row r="94" spans="7:8" ht="13.5">
      <c r="G94" s="31" t="e">
        <f>G92-G93</f>
        <v>#REF!</v>
      </c>
      <c r="H94" s="8"/>
    </row>
    <row r="95" spans="7:8" ht="13.5">
      <c r="G95" s="35"/>
      <c r="H95" s="8"/>
    </row>
    <row r="96" spans="6:8" ht="13.5">
      <c r="F96" s="31"/>
      <c r="G96" s="31"/>
      <c r="H96" s="8"/>
    </row>
    <row r="97" ht="13.5">
      <c r="H97" s="8">
        <v>0</v>
      </c>
    </row>
    <row r="98" ht="13.5">
      <c r="H98" s="8"/>
    </row>
    <row r="99" ht="13.5">
      <c r="H99" s="8"/>
    </row>
    <row r="100" spans="6:8" ht="13.5">
      <c r="F100" s="31" t="e">
        <f>F7-2차추경세입예산!#REF!</f>
        <v>#REF!</v>
      </c>
      <c r="H100" s="8"/>
    </row>
    <row r="101" ht="13.5">
      <c r="H101" s="8"/>
    </row>
    <row r="102" ht="13.5">
      <c r="H102" s="8"/>
    </row>
    <row r="103" ht="13.5">
      <c r="H103" s="8"/>
    </row>
  </sheetData>
  <sheetProtection/>
  <mergeCells count="35">
    <mergeCell ref="I5:I6"/>
    <mergeCell ref="D33:D34"/>
    <mergeCell ref="E5:E6"/>
    <mergeCell ref="F5:F6"/>
    <mergeCell ref="G5:G6"/>
    <mergeCell ref="D24:D30"/>
    <mergeCell ref="D58:D60"/>
    <mergeCell ref="H31:H32"/>
    <mergeCell ref="F31:F32"/>
    <mergeCell ref="G31:G32"/>
    <mergeCell ref="D49:D50"/>
    <mergeCell ref="B58:B60"/>
    <mergeCell ref="C58:C60"/>
    <mergeCell ref="C24:C41"/>
    <mergeCell ref="C44:C45"/>
    <mergeCell ref="C42:C43"/>
    <mergeCell ref="H5:H6"/>
    <mergeCell ref="C46:C57"/>
    <mergeCell ref="B44:B57"/>
    <mergeCell ref="F49:F50"/>
    <mergeCell ref="G49:G50"/>
    <mergeCell ref="B8:B23"/>
    <mergeCell ref="C8:C23"/>
    <mergeCell ref="B24:B41"/>
    <mergeCell ref="H49:H50"/>
    <mergeCell ref="D31:D32"/>
    <mergeCell ref="B42:B43"/>
    <mergeCell ref="B75:B76"/>
    <mergeCell ref="C75:C76"/>
    <mergeCell ref="B61:B62"/>
    <mergeCell ref="C61:C62"/>
    <mergeCell ref="B63:B72"/>
    <mergeCell ref="C63:C72"/>
    <mergeCell ref="B73:B74"/>
    <mergeCell ref="C73:C74"/>
  </mergeCells>
  <printOptions/>
  <pageMargins left="0.31496062992125984" right="0" top="0.3937007874015748" bottom="0.3937007874015748" header="0" footer="0.31496062992125984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성안가정도우미파견센타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송문빈</dc:creator>
  <cp:keywords/>
  <dc:description/>
  <cp:lastModifiedBy>User</cp:lastModifiedBy>
  <cp:lastPrinted>2022-12-22T01:15:48Z</cp:lastPrinted>
  <dcterms:created xsi:type="dcterms:W3CDTF">2007-04-06T04:23:55Z</dcterms:created>
  <dcterms:modified xsi:type="dcterms:W3CDTF">2023-01-10T08:05:46Z</dcterms:modified>
  <cp:category/>
  <cp:version/>
  <cp:contentType/>
  <cp:contentStatus/>
</cp:coreProperties>
</file>